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300" windowHeight="5190" activeTab="0"/>
  </bookViews>
  <sheets>
    <sheet name="Flyback" sheetId="1" r:id="rId1"/>
    <sheet name="FPS Line-up" sheetId="2" r:id="rId2"/>
  </sheets>
  <definedNames>
    <definedName name="Ae">'Flyback'!$C$47</definedName>
    <definedName name="AL">'Flyback'!$C$66</definedName>
    <definedName name="Bmax">'Flyback'!#REF!</definedName>
    <definedName name="Bsat">'Flyback'!$C$46</definedName>
    <definedName name="CB">'Flyback'!$C$139</definedName>
    <definedName name="Cdc">'Flyback'!$C$23/1000000</definedName>
    <definedName name="CF">'Flyback'!$C$140</definedName>
    <definedName name="Ciss">'Flyback'!$C$70</definedName>
    <definedName name="Co_1">'Flyback'!$C$112</definedName>
    <definedName name="Co_2">'Flyback'!$C$113</definedName>
    <definedName name="Co_3">'Flyback'!$C$114</definedName>
    <definedName name="Co_4">'Flyback'!$C$115</definedName>
    <definedName name="Co_5">'Flyback'!$C$116</definedName>
    <definedName name="Co_6">'Flyback'!$C$108</definedName>
    <definedName name="CTR">'Flyback'!$C$142/100</definedName>
    <definedName name="Cvcc">'Flyback'!$C$80</definedName>
    <definedName name="dB">'Flyback'!$C$45</definedName>
    <definedName name="Dmax">'Flyback'!$C$34</definedName>
    <definedName name="Eff">'Flyback'!$C$19/100</definedName>
    <definedName name="ffi">'Flyback'!$C$195</definedName>
    <definedName name="ffp">'Flyback'!$C$197</definedName>
    <definedName name="ffz">'Flyback'!$C$196</definedName>
    <definedName name="fi">'Flyback'!$G$144</definedName>
    <definedName name="fL">'Flyback'!$C$9</definedName>
    <definedName name="fp">'Flyback'!$G$146</definedName>
    <definedName name="fp_1">'Flyback'!$G$133</definedName>
    <definedName name="frz">'Flyback'!$G$132</definedName>
    <definedName name="fs">'Flyback'!$G$72</definedName>
    <definedName name="fs_min">'Flyback'!$C$33*1000</definedName>
    <definedName name="fz">'Flyback'!$G$145</definedName>
    <definedName name="fz_1">'Flyback'!$G$131</definedName>
    <definedName name="fzr">'Flyback'!$G$132</definedName>
    <definedName name="Icc">'Flyback'!$C$72</definedName>
    <definedName name="Ilim">'Flyback'!$C$40</definedName>
    <definedName name="Io_1">'Flyback'!$E$12</definedName>
    <definedName name="Io_2">'Flyback'!$E$13</definedName>
    <definedName name="Io_3">'Flyback'!$E$14</definedName>
    <definedName name="Io_4">'Flyback'!$E$15</definedName>
    <definedName name="Io_5">'Flyback'!$E$16</definedName>
    <definedName name="Io_6">'Flyback'!#REF!</definedName>
    <definedName name="Io1rms">'Flyback'!$G$89</definedName>
    <definedName name="Io2rms">'Flyback'!$G$90</definedName>
    <definedName name="Io3rms">'Flyback'!$G$91</definedName>
    <definedName name="Io4rms">'Flyback'!$G$92</definedName>
    <definedName name="Io5rms">'Flyback'!$G$93</definedName>
    <definedName name="Io6rms">'Flyback'!#REF!</definedName>
    <definedName name="Iop">'Flyback'!$C$69</definedName>
    <definedName name="Ipk">'Flyback'!$C$36</definedName>
    <definedName name="Irms">'Flyback'!$C$37</definedName>
    <definedName name="Istart">'Flyback'!$C$78</definedName>
    <definedName name="k_1">'Flyback'!$C$130</definedName>
    <definedName name="KL1">'Flyback'!$I$12/100</definedName>
    <definedName name="KL2">'Flyback'!$I$13/100</definedName>
    <definedName name="KL3">'Flyback'!$I$14/100</definedName>
    <definedName name="KL4">'Flyback'!$I$15/100</definedName>
    <definedName name="KL5">'Flyback'!$I$16/100</definedName>
    <definedName name="KL6">'Flyback'!#REF!/100</definedName>
    <definedName name="KRF">'Flyback'!#REF!</definedName>
    <definedName name="Llk">'Flyback'!$C$110</definedName>
    <definedName name="Lm">'Flyback'!$C$35</definedName>
    <definedName name="Nc">'Flyback'!$G$58</definedName>
    <definedName name="Np">'Flyback'!$C$64</definedName>
    <definedName name="Ns1">'Flyback'!$E$59</definedName>
    <definedName name="Ns2">'Flyback'!$G$60</definedName>
    <definedName name="Ns3">'Flyback'!$G$61</definedName>
    <definedName name="Ns4">'Flyback'!$G$62</definedName>
    <definedName name="Ns5">'Flyback'!$G$63</definedName>
    <definedName name="Ns6">'Flyback'!#REF!</definedName>
    <definedName name="Pin">'Flyback'!$C$20</definedName>
    <definedName name="Po">'Flyback'!$C$18</definedName>
    <definedName name="_xlnm.Print_Area" localSheetId="1">'FPS Line-up'!$A$1:$R$86</definedName>
    <definedName name="R_1">'Flyback'!$C$135</definedName>
    <definedName name="Rc_1">'Flyback'!$E$112</definedName>
    <definedName name="Rc_2">'Flyback'!$E$113</definedName>
    <definedName name="Rc_3">'Flyback'!$E$114</definedName>
    <definedName name="Rc_4">'Flyback'!$E$115</definedName>
    <definedName name="Rc_5">'Flyback'!$E$116</definedName>
    <definedName name="RD">'Flyback'!$C$137</definedName>
    <definedName name="RF">'Flyback'!$C$141</definedName>
    <definedName name="Rsn">'Flyback'!$C$112*1000</definedName>
    <definedName name="Rstart">'Flyback'!$C$79</definedName>
    <definedName name="Rsy1">'Flyback'!$C$120</definedName>
    <definedName name="Rsy2">'Flyback'!$C$121</definedName>
    <definedName name="TF">'Flyback'!$C$32</definedName>
    <definedName name="Tq">'Flyback'!$C$32</definedName>
    <definedName name="Tr">'Flyback'!$C$32/1000000</definedName>
    <definedName name="V_line_max">'Flyback'!$C$8</definedName>
    <definedName name="V_line_min">'Flyback'!$C$7</definedName>
    <definedName name="Vcc">'Flyback'!#REF!</definedName>
    <definedName name="Vco_normal">'Flyback'!$C$55</definedName>
    <definedName name="Vco_stby">'Flyback'!$C$54</definedName>
    <definedName name="Vdc_ccm">'Flyback'!#REF!</definedName>
    <definedName name="Vdc_max">'Flyback'!$C$25</definedName>
    <definedName name="Vdc_min">'Flyback'!$C$24</definedName>
    <definedName name="VF1">'Flyback'!$C$59</definedName>
    <definedName name="VF2">'Flyback'!$C$60</definedName>
    <definedName name="VF3">'Flyback'!$C$61</definedName>
    <definedName name="VF4">'Flyback'!$C$62</definedName>
    <definedName name="VF5">'Flyback'!$C$63</definedName>
    <definedName name="VF6">'Flyback'!#REF!</definedName>
    <definedName name="VFC">'Flyback'!$C$58</definedName>
    <definedName name="Vo1">'Flyback'!$C$12</definedName>
    <definedName name="Vo2">'Flyback'!$C$13</definedName>
    <definedName name="Vo2_stby">'Flyback'!$C$52</definedName>
    <definedName name="Vo3">'Flyback'!$C$14</definedName>
    <definedName name="Vo4">'Flyback'!$C$15</definedName>
    <definedName name="Vo5">'Flyback'!$C$16</definedName>
    <definedName name="Vo6">'Flyback'!#REF!</definedName>
    <definedName name="VRO">'Flyback'!$C$28</definedName>
    <definedName name="Vsf">'Flyback'!#REF!</definedName>
    <definedName name="Vsn">'Flyback'!$C$111</definedName>
    <definedName name="Vsypk">'Flyback'!$C$119</definedName>
    <definedName name="Vz">'Flyback'!$C$71</definedName>
  </definedNames>
  <calcPr fullCalcOnLoad="1"/>
</workbook>
</file>

<file path=xl/comments1.xml><?xml version="1.0" encoding="utf-8"?>
<comments xmlns="http://schemas.openxmlformats.org/spreadsheetml/2006/main">
  <authors>
    <author>hangseok</author>
  </authors>
  <commentList>
    <comment ref="C23" authorId="0">
      <text>
        <r>
          <rPr>
            <b/>
            <sz val="9"/>
            <rFont val="굴림"/>
            <family val="3"/>
          </rPr>
          <t xml:space="preserve">2-3uF per 1 watt </t>
        </r>
      </text>
    </comment>
  </commentList>
</comments>
</file>

<file path=xl/sharedStrings.xml><?xml version="1.0" encoding="utf-8"?>
<sst xmlns="http://schemas.openxmlformats.org/spreadsheetml/2006/main" count="986" uniqueCount="385">
  <si>
    <t>V</t>
  </si>
  <si>
    <t>Hz</t>
  </si>
  <si>
    <t>W</t>
  </si>
  <si>
    <t>%</t>
  </si>
  <si>
    <t>uH</t>
  </si>
  <si>
    <t>uF</t>
  </si>
  <si>
    <t>A</t>
  </si>
  <si>
    <t>A</t>
  </si>
  <si>
    <t>A</t>
  </si>
  <si>
    <t>W</t>
  </si>
  <si>
    <t>W</t>
  </si>
  <si>
    <t>W</t>
  </si>
  <si>
    <t>%</t>
  </si>
  <si>
    <t>%</t>
  </si>
  <si>
    <t>%</t>
  </si>
  <si>
    <t>kHz</t>
  </si>
  <si>
    <r>
      <t>mm</t>
    </r>
    <r>
      <rPr>
        <vertAlign val="superscript"/>
        <sz val="11"/>
        <color indexed="12"/>
        <rFont val="돋움"/>
        <family val="3"/>
      </rPr>
      <t>2</t>
    </r>
  </si>
  <si>
    <t>T</t>
  </si>
  <si>
    <t>V</t>
  </si>
  <si>
    <t>=&gt;</t>
  </si>
  <si>
    <t>T</t>
  </si>
  <si>
    <t># of turns</t>
  </si>
  <si>
    <t>mm</t>
  </si>
  <si>
    <t>Diameter</t>
  </si>
  <si>
    <t>Parallel</t>
  </si>
  <si>
    <r>
      <t>(A/mm</t>
    </r>
    <r>
      <rPr>
        <b/>
        <vertAlign val="superscript"/>
        <sz val="11"/>
        <color indexed="12"/>
        <rFont val="돋움"/>
        <family val="3"/>
      </rPr>
      <t>2</t>
    </r>
    <r>
      <rPr>
        <b/>
        <sz val="11"/>
        <color indexed="12"/>
        <rFont val="돋움"/>
        <family val="3"/>
      </rPr>
      <t>)</t>
    </r>
  </si>
  <si>
    <r>
      <t>mm</t>
    </r>
    <r>
      <rPr>
        <b/>
        <vertAlign val="superscript"/>
        <sz val="11"/>
        <color indexed="60"/>
        <rFont val="돋움"/>
        <family val="3"/>
      </rPr>
      <t>2</t>
    </r>
  </si>
  <si>
    <t>uF</t>
  </si>
  <si>
    <t>mΩ</t>
  </si>
  <si>
    <t>V.rms</t>
  </si>
  <si>
    <r>
      <t>nH/T</t>
    </r>
    <r>
      <rPr>
        <vertAlign val="superscript"/>
        <sz val="11"/>
        <rFont val="돋움"/>
        <family val="3"/>
      </rPr>
      <t>2</t>
    </r>
  </si>
  <si>
    <t>nF</t>
  </si>
  <si>
    <t>Fopr
(KHz)</t>
  </si>
  <si>
    <t>A/R</t>
  </si>
  <si>
    <t>NO</t>
  </si>
  <si>
    <t>Latch</t>
  </si>
  <si>
    <t>YES</t>
  </si>
  <si>
    <t>TO-3P-5L</t>
  </si>
  <si>
    <t>Original</t>
  </si>
  <si>
    <t>TO-3PF-5L</t>
  </si>
  <si>
    <t>STR-F6653</t>
  </si>
  <si>
    <t>Monitor</t>
  </si>
  <si>
    <t>8DIP</t>
  </si>
  <si>
    <t>TO-220-5L</t>
  </si>
  <si>
    <t>Sync.</t>
  </si>
  <si>
    <t>STR-F6654</t>
  </si>
  <si>
    <t>TO-220F-5L</t>
  </si>
  <si>
    <t>FS6S0965RT</t>
  </si>
  <si>
    <t>STR-G5653</t>
  </si>
  <si>
    <t>@36-75VDC</t>
  </si>
  <si>
    <t>DPA426R</t>
  </si>
  <si>
    <t>9 / [7]</t>
  </si>
  <si>
    <t>6 / [5]</t>
  </si>
  <si>
    <t>TNY264P</t>
  </si>
  <si>
    <t>The letter 'x' stands for H/M/L separately. Each letter 'H','M' &amp; 'L' means 100KHz/70KHz/50KHz.</t>
  </si>
  <si>
    <t>Device</t>
  </si>
  <si>
    <t>Recommend
New Device</t>
  </si>
  <si>
    <t>Function</t>
  </si>
  <si>
    <t>Protection Mode</t>
  </si>
  <si>
    <t>Soft Start
Option</t>
  </si>
  <si>
    <t>PKG</t>
  </si>
  <si>
    <t xml:space="preserve">Cross
Reference </t>
  </si>
  <si>
    <t>Application</t>
  </si>
  <si>
    <t>Application Note
www.fairchildsemi.com</t>
  </si>
  <si>
    <t>Features</t>
  </si>
  <si>
    <t>Vdmax
(V)</t>
  </si>
  <si>
    <t>Ipeak
(A)</t>
  </si>
  <si>
    <t>Pin(max)(W)_open frame
[adaptor type]</t>
  </si>
  <si>
    <r>
      <t>Rds(on)
max (</t>
    </r>
    <r>
      <rPr>
        <sz val="10"/>
        <rFont val="돋움"/>
        <family val="3"/>
      </rPr>
      <t>Ω</t>
    </r>
    <r>
      <rPr>
        <sz val="10"/>
        <rFont val="Arial"/>
        <family val="2"/>
      </rPr>
      <t>)</t>
    </r>
  </si>
  <si>
    <t>Over
Load</t>
  </si>
  <si>
    <t>Over
Current</t>
  </si>
  <si>
    <t>Over
Voltage</t>
  </si>
  <si>
    <t>Thermal
Shutdown</t>
  </si>
  <si>
    <t>85-265VAC</t>
  </si>
  <si>
    <t>230VAC</t>
  </si>
  <si>
    <t>1st Generation 800V Class</t>
  </si>
  <si>
    <t>KA1M0280RB</t>
  </si>
  <si>
    <t>KA5x0280R</t>
  </si>
  <si>
    <t>TO-220F-4L</t>
  </si>
  <si>
    <t>TOP223Y</t>
  </si>
  <si>
    <t>DVD</t>
  </si>
  <si>
    <t>AN4105
AN4106</t>
  </si>
  <si>
    <t>KA1x0380RB</t>
  </si>
  <si>
    <t>KA5x0380R</t>
  </si>
  <si>
    <t>67/50</t>
  </si>
  <si>
    <t>TOP224Y</t>
  </si>
  <si>
    <t>VCR / DVD</t>
  </si>
  <si>
    <t>KA1x0680B</t>
  </si>
  <si>
    <t>FS7M0680</t>
  </si>
  <si>
    <t>100/67</t>
  </si>
  <si>
    <t>TO-3P-5L</t>
  </si>
  <si>
    <t>Original</t>
  </si>
  <si>
    <t>PC, SMPS</t>
  </si>
  <si>
    <t>AN4105
AN4104</t>
  </si>
  <si>
    <t>KA1H0680RFB</t>
  </si>
  <si>
    <t>KA1M0680RB</t>
  </si>
  <si>
    <t>KA1M0880B(F)</t>
  </si>
  <si>
    <t>FS7M0880</t>
  </si>
  <si>
    <t>TO-3P(F)-5L</t>
  </si>
  <si>
    <t>KA1M0880D</t>
  </si>
  <si>
    <t>Optimized for forward converter</t>
  </si>
  <si>
    <t>KA2S0680B</t>
  </si>
  <si>
    <t>FS8S0765RCB</t>
  </si>
  <si>
    <t>20~150</t>
  </si>
  <si>
    <t>STR-F6653</t>
  </si>
  <si>
    <t>Monitor</t>
  </si>
  <si>
    <t>AN4105
AN4103</t>
  </si>
  <si>
    <t>KA3S0680RFB</t>
  </si>
  <si>
    <t>KA5Q0765RTH</t>
  </si>
  <si>
    <t>TO-3PF-5L</t>
  </si>
  <si>
    <t>STR-S6707</t>
  </si>
  <si>
    <t>C-TV</t>
  </si>
  <si>
    <t>AN4105
AN4102</t>
  </si>
  <si>
    <t>KA3S0880RFB</t>
  </si>
  <si>
    <t>KA5Q12656RT</t>
  </si>
  <si>
    <t>1st Generation 650V Class</t>
  </si>
  <si>
    <t>KA1H0165RN</t>
  </si>
  <si>
    <t>KA5x0165RN</t>
  </si>
  <si>
    <t>8DIP</t>
  </si>
  <si>
    <t>TOP222P</t>
  </si>
  <si>
    <t>Charger</t>
  </si>
  <si>
    <t>AN4105
AN4101</t>
  </si>
  <si>
    <t>KA1H0165R</t>
  </si>
  <si>
    <t>KA5x0165R</t>
  </si>
  <si>
    <t>TOP222Y</t>
  </si>
  <si>
    <t>KA1M0265R</t>
  </si>
  <si>
    <t>KA5x0265R</t>
  </si>
  <si>
    <t>Auxiliary Power</t>
  </si>
  <si>
    <t>KA1M0365R</t>
  </si>
  <si>
    <t>KA5x0365R</t>
  </si>
  <si>
    <t>STB</t>
  </si>
  <si>
    <t>KA1x0565R</t>
  </si>
  <si>
    <t>FSDM0565R</t>
  </si>
  <si>
    <t>TOP227Y</t>
  </si>
  <si>
    <t>Note-PC Adaptor</t>
  </si>
  <si>
    <t>KA1M0765R</t>
  </si>
  <si>
    <t>KA5M0765RQC</t>
  </si>
  <si>
    <t>SMPS</t>
  </si>
  <si>
    <t>AN4105</t>
  </si>
  <si>
    <t>KA1M0965R</t>
  </si>
  <si>
    <t>KA5M0965Q</t>
  </si>
  <si>
    <t>2nd Generation 800V Class</t>
  </si>
  <si>
    <t>A/R</t>
  </si>
  <si>
    <t>100/67/50</t>
  </si>
  <si>
    <t>KA5P0680C</t>
  </si>
  <si>
    <t>TO-220-5L</t>
  </si>
  <si>
    <t>PC SMPS</t>
  </si>
  <si>
    <t>AN4105,  AN4104</t>
  </si>
  <si>
    <t>Intelligent Power Saving Mode</t>
  </si>
  <si>
    <t>2nd Generation 650V Class</t>
  </si>
  <si>
    <t>TOP222Y
TOP222P</t>
  </si>
  <si>
    <t xml:space="preserve">Charger
Auxiliary </t>
  </si>
  <si>
    <t>FSDL0165RN</t>
  </si>
  <si>
    <t>KA5x02659RN</t>
  </si>
  <si>
    <t>FSDx0265RN</t>
  </si>
  <si>
    <t>KA5H0265RC</t>
  </si>
  <si>
    <t>KA5x0365RN</t>
  </si>
  <si>
    <t>FSDx0365RN</t>
  </si>
  <si>
    <t>TOP224P</t>
  </si>
  <si>
    <t>KA5S0765C</t>
  </si>
  <si>
    <t>Sync.</t>
  </si>
  <si>
    <t>KA5S0965</t>
  </si>
  <si>
    <t>FS6S0965RCB</t>
  </si>
  <si>
    <t>STR-F6654</t>
  </si>
  <si>
    <t>KA5S12656</t>
  </si>
  <si>
    <t>FS6S1265RE</t>
  </si>
  <si>
    <t>STR-F6656</t>
  </si>
  <si>
    <t>KA5S1265</t>
  </si>
  <si>
    <t>KA5Q0565RT</t>
  </si>
  <si>
    <t>QRC</t>
  </si>
  <si>
    <t>Latch</t>
  </si>
  <si>
    <t>NO</t>
  </si>
  <si>
    <t>TO-220F-5L</t>
  </si>
  <si>
    <t>1.Burst Mode Operation for low stdby
2.Simple application with both primary and secondary side regulation</t>
  </si>
  <si>
    <t>KA5Q0740RT</t>
  </si>
  <si>
    <t>-</t>
  </si>
  <si>
    <t>FSCQ0765RT</t>
  </si>
  <si>
    <t>KA5Q1265RF</t>
  </si>
  <si>
    <t>KA5Q1265RFH</t>
  </si>
  <si>
    <t>KA5Q1565RF</t>
  </si>
  <si>
    <t>3rd Generation</t>
  </si>
  <si>
    <t>FS6M07652RTC</t>
  </si>
  <si>
    <t>FSDM07652R</t>
  </si>
  <si>
    <t>LCD Monitor</t>
  </si>
  <si>
    <t>AN4105
AN4116</t>
  </si>
  <si>
    <t>Burst Mode Operation for low stdby</t>
  </si>
  <si>
    <t>FS6M12653RTC</t>
  </si>
  <si>
    <t>FS6S0765RCH</t>
  </si>
  <si>
    <t>AN4105
AN4108</t>
  </si>
  <si>
    <t>FS6S0965R</t>
  </si>
  <si>
    <t>FS6S1565RB</t>
  </si>
  <si>
    <t>PDP, PC</t>
  </si>
  <si>
    <t>AN4104</t>
  </si>
  <si>
    <t>YES</t>
  </si>
  <si>
    <t>PSR, Low stdby power</t>
  </si>
  <si>
    <t>FS6X1220RT</t>
  </si>
  <si>
    <t>@36-75VDC</t>
  </si>
  <si>
    <t>DPA426R</t>
  </si>
  <si>
    <t>DC/DC off-line</t>
  </si>
  <si>
    <t>FS6X1220RD</t>
  </si>
  <si>
    <t>D2-PAK-5L</t>
  </si>
  <si>
    <t>Green FPS</t>
  </si>
  <si>
    <t>FSDH0165</t>
  </si>
  <si>
    <t>FSDM311</t>
  </si>
  <si>
    <t>9 / [7]</t>
  </si>
  <si>
    <t>8DIPH</t>
  </si>
  <si>
    <t>TNY266P</t>
  </si>
  <si>
    <t>AN4105
AN4111</t>
  </si>
  <si>
    <t>1Chip 1PKG</t>
  </si>
  <si>
    <t>FSDH0165D</t>
  </si>
  <si>
    <t>FSDH565</t>
  </si>
  <si>
    <t>FSD200/FSD210</t>
  </si>
  <si>
    <t>6 / [5]</t>
  </si>
  <si>
    <t>TNY264P</t>
  </si>
  <si>
    <r>
      <t>FSD200</t>
    </r>
    <r>
      <rPr>
        <b/>
        <sz val="10"/>
        <color indexed="10"/>
        <rFont val="Arial"/>
        <family val="2"/>
      </rPr>
      <t>(M)</t>
    </r>
  </si>
  <si>
    <t>9 / [6]</t>
  </si>
  <si>
    <r>
      <t>7DIP</t>
    </r>
    <r>
      <rPr>
        <b/>
        <sz val="10"/>
        <color indexed="10"/>
        <rFont val="Arial"/>
        <family val="2"/>
      </rPr>
      <t>(7LSOP)</t>
    </r>
  </si>
  <si>
    <r>
      <t>FSD210</t>
    </r>
    <r>
      <rPr>
        <b/>
        <sz val="10"/>
        <color indexed="10"/>
        <rFont val="Arial"/>
        <family val="2"/>
      </rPr>
      <t>(M)</t>
    </r>
  </si>
  <si>
    <t>VIPer22A</t>
  </si>
  <si>
    <t>PC Aux</t>
  </si>
  <si>
    <t>2Chip 1PKG</t>
  </si>
  <si>
    <t>FSDL312</t>
  </si>
  <si>
    <t>FSD1000</t>
  </si>
  <si>
    <t>12DIPH</t>
  </si>
  <si>
    <t>PC</t>
  </si>
  <si>
    <t>FSDL0165RN(L)</t>
  </si>
  <si>
    <t>8DIP(8LSOP)</t>
  </si>
  <si>
    <t>DVDP/STB</t>
  </si>
  <si>
    <t>TO-220F-6L</t>
  </si>
  <si>
    <t>CTV</t>
  </si>
  <si>
    <t>FSCQ1565RT</t>
  </si>
  <si>
    <t>FSCQ1565RG</t>
  </si>
  <si>
    <t>TO-3PF-6L</t>
  </si>
  <si>
    <t>FSCQ2065RG</t>
  </si>
  <si>
    <t>A/R-Auto Restart</t>
  </si>
  <si>
    <t>Pin(max) Test Condition :</t>
  </si>
  <si>
    <t>85-265VAC :</t>
  </si>
  <si>
    <t>Flyback Converter, Discontinuous Current Mode, Dmax=0.50, Vin=100VDC</t>
  </si>
  <si>
    <t>230VAC :</t>
  </si>
  <si>
    <t>Flyback Converter, Discontinuous Current Mode, Dmax=0.25, Vin=220VDC</t>
  </si>
  <si>
    <t>under development</t>
  </si>
  <si>
    <t>not recommend for new design</t>
  </si>
  <si>
    <t>5. Choose the proper FPS considering the input power and current limit</t>
  </si>
  <si>
    <t>1. Define the system specifications</t>
  </si>
  <si>
    <t>2. Determine DC link capacitor and DC link voltage range</t>
  </si>
  <si>
    <t>6. Determine the proper core and the minimum primary turns</t>
  </si>
  <si>
    <r>
      <t>Maximum Line voltage (V</t>
    </r>
    <r>
      <rPr>
        <vertAlign val="subscript"/>
        <sz val="11"/>
        <color indexed="12"/>
        <rFont val="돋움"/>
        <family val="3"/>
      </rPr>
      <t>line</t>
    </r>
    <r>
      <rPr>
        <vertAlign val="superscript"/>
        <sz val="11"/>
        <color indexed="12"/>
        <rFont val="돋움"/>
        <family val="3"/>
      </rPr>
      <t>max</t>
    </r>
    <r>
      <rPr>
        <sz val="11"/>
        <color indexed="12"/>
        <rFont val="돋움"/>
        <family val="3"/>
      </rPr>
      <t>)</t>
    </r>
  </si>
  <si>
    <r>
      <t>Minimum Line voltage (V</t>
    </r>
    <r>
      <rPr>
        <vertAlign val="subscript"/>
        <sz val="11"/>
        <color indexed="12"/>
        <rFont val="돋움"/>
        <family val="3"/>
      </rPr>
      <t>line</t>
    </r>
    <r>
      <rPr>
        <vertAlign val="superscript"/>
        <sz val="11"/>
        <color indexed="12"/>
        <rFont val="돋움"/>
        <family val="3"/>
      </rPr>
      <t>min</t>
    </r>
    <r>
      <rPr>
        <sz val="11"/>
        <color indexed="12"/>
        <rFont val="돋움"/>
        <family val="3"/>
      </rPr>
      <t>)</t>
    </r>
  </si>
  <si>
    <r>
      <t>Line frequency (f</t>
    </r>
    <r>
      <rPr>
        <vertAlign val="subscript"/>
        <sz val="11"/>
        <color indexed="12"/>
        <rFont val="돋움"/>
        <family val="3"/>
      </rPr>
      <t>L</t>
    </r>
    <r>
      <rPr>
        <sz val="11"/>
        <color indexed="12"/>
        <rFont val="돋움"/>
        <family val="3"/>
      </rPr>
      <t>)</t>
    </r>
  </si>
  <si>
    <r>
      <t>Maximum output power (P</t>
    </r>
    <r>
      <rPr>
        <b/>
        <vertAlign val="subscript"/>
        <sz val="11"/>
        <color indexed="60"/>
        <rFont val="돋움"/>
        <family val="3"/>
      </rPr>
      <t>o</t>
    </r>
    <r>
      <rPr>
        <b/>
        <sz val="11"/>
        <color indexed="60"/>
        <rFont val="돋움"/>
        <family val="3"/>
      </rPr>
      <t>) =</t>
    </r>
  </si>
  <si>
    <r>
      <t>Maximum input power (P</t>
    </r>
    <r>
      <rPr>
        <b/>
        <vertAlign val="subscript"/>
        <sz val="11"/>
        <color indexed="60"/>
        <rFont val="돋움"/>
        <family val="3"/>
      </rPr>
      <t>in</t>
    </r>
    <r>
      <rPr>
        <b/>
        <sz val="11"/>
        <color indexed="60"/>
        <rFont val="돋움"/>
        <family val="3"/>
      </rPr>
      <t>) =</t>
    </r>
  </si>
  <si>
    <r>
      <t>Estimated efficiency (E</t>
    </r>
    <r>
      <rPr>
        <vertAlign val="subscript"/>
        <sz val="11"/>
        <color indexed="12"/>
        <rFont val="돋움"/>
        <family val="3"/>
      </rPr>
      <t>ff</t>
    </r>
    <r>
      <rPr>
        <sz val="11"/>
        <color indexed="12"/>
        <rFont val="돋움"/>
        <family val="3"/>
      </rPr>
      <t>)</t>
    </r>
  </si>
  <si>
    <r>
      <t>DC link capacitor (C</t>
    </r>
    <r>
      <rPr>
        <vertAlign val="subscript"/>
        <sz val="11"/>
        <color indexed="12"/>
        <rFont val="돋움"/>
        <family val="3"/>
      </rPr>
      <t>DC</t>
    </r>
    <r>
      <rPr>
        <sz val="11"/>
        <color indexed="12"/>
        <rFont val="돋움"/>
        <family val="3"/>
      </rPr>
      <t>)</t>
    </r>
  </si>
  <si>
    <r>
      <t>Maximum DC link voltage (V</t>
    </r>
    <r>
      <rPr>
        <b/>
        <vertAlign val="subscript"/>
        <sz val="11"/>
        <color indexed="60"/>
        <rFont val="돋움"/>
        <family val="3"/>
      </rPr>
      <t>DC</t>
    </r>
    <r>
      <rPr>
        <b/>
        <vertAlign val="superscript"/>
        <sz val="11"/>
        <color indexed="60"/>
        <rFont val="돋움"/>
        <family val="3"/>
      </rPr>
      <t>max</t>
    </r>
    <r>
      <rPr>
        <b/>
        <sz val="11"/>
        <color indexed="60"/>
        <rFont val="돋움"/>
        <family val="3"/>
      </rPr>
      <t>)=</t>
    </r>
  </si>
  <si>
    <r>
      <t>Minimum DC link voltage (V</t>
    </r>
    <r>
      <rPr>
        <b/>
        <vertAlign val="subscript"/>
        <sz val="11"/>
        <color indexed="60"/>
        <rFont val="돋움"/>
        <family val="3"/>
      </rPr>
      <t>DC</t>
    </r>
    <r>
      <rPr>
        <b/>
        <vertAlign val="superscript"/>
        <sz val="11"/>
        <color indexed="60"/>
        <rFont val="돋움"/>
        <family val="3"/>
      </rPr>
      <t>min</t>
    </r>
    <r>
      <rPr>
        <b/>
        <sz val="11"/>
        <color indexed="60"/>
        <rFont val="돋움"/>
        <family val="3"/>
      </rPr>
      <t>) =</t>
    </r>
  </si>
  <si>
    <r>
      <t>Primary side inductance (L</t>
    </r>
    <r>
      <rPr>
        <b/>
        <vertAlign val="subscript"/>
        <sz val="11"/>
        <color indexed="60"/>
        <rFont val="돋움"/>
        <family val="3"/>
      </rPr>
      <t>m</t>
    </r>
    <r>
      <rPr>
        <b/>
        <sz val="11"/>
        <color indexed="60"/>
        <rFont val="돋움"/>
        <family val="3"/>
      </rPr>
      <t>) =</t>
    </r>
  </si>
  <si>
    <r>
      <t>Maximum peak drain current (I</t>
    </r>
    <r>
      <rPr>
        <b/>
        <vertAlign val="subscript"/>
        <sz val="11"/>
        <color indexed="60"/>
        <rFont val="돋움"/>
        <family val="3"/>
      </rPr>
      <t>ds</t>
    </r>
    <r>
      <rPr>
        <b/>
        <vertAlign val="superscript"/>
        <sz val="11"/>
        <color indexed="60"/>
        <rFont val="돋움"/>
        <family val="3"/>
      </rPr>
      <t>peak</t>
    </r>
    <r>
      <rPr>
        <b/>
        <sz val="11"/>
        <color indexed="60"/>
        <rFont val="돋움"/>
        <family val="3"/>
      </rPr>
      <t>) =</t>
    </r>
  </si>
  <si>
    <r>
      <t>RMS drain current (I</t>
    </r>
    <r>
      <rPr>
        <b/>
        <vertAlign val="subscript"/>
        <sz val="11"/>
        <color indexed="60"/>
        <rFont val="돋움"/>
        <family val="3"/>
      </rPr>
      <t>ds</t>
    </r>
    <r>
      <rPr>
        <b/>
        <vertAlign val="superscript"/>
        <sz val="11"/>
        <color indexed="60"/>
        <rFont val="돋움"/>
        <family val="3"/>
      </rPr>
      <t>rms</t>
    </r>
    <r>
      <rPr>
        <b/>
        <sz val="11"/>
        <color indexed="60"/>
        <rFont val="돋움"/>
        <family val="3"/>
      </rPr>
      <t>) =</t>
    </r>
  </si>
  <si>
    <r>
      <t>Cross sectional area of core (A</t>
    </r>
    <r>
      <rPr>
        <vertAlign val="subscript"/>
        <sz val="11"/>
        <color indexed="12"/>
        <rFont val="돋움"/>
        <family val="3"/>
      </rPr>
      <t>e</t>
    </r>
    <r>
      <rPr>
        <sz val="11"/>
        <color indexed="12"/>
        <rFont val="돋움"/>
        <family val="3"/>
      </rPr>
      <t>)</t>
    </r>
  </si>
  <si>
    <r>
      <t>V</t>
    </r>
    <r>
      <rPr>
        <b/>
        <vertAlign val="subscript"/>
        <sz val="11"/>
        <color indexed="9"/>
        <rFont val="돋움"/>
        <family val="3"/>
      </rPr>
      <t>F(n)</t>
    </r>
  </si>
  <si>
    <r>
      <t>V</t>
    </r>
    <r>
      <rPr>
        <b/>
        <vertAlign val="subscript"/>
        <sz val="11"/>
        <color indexed="9"/>
        <rFont val="돋움"/>
        <family val="3"/>
      </rPr>
      <t>o(n)</t>
    </r>
  </si>
  <si>
    <r>
      <t>I</t>
    </r>
    <r>
      <rPr>
        <b/>
        <vertAlign val="subscript"/>
        <sz val="11"/>
        <color indexed="9"/>
        <rFont val="돋움"/>
        <family val="3"/>
      </rPr>
      <t>o(n)</t>
    </r>
  </si>
  <si>
    <r>
      <t>P</t>
    </r>
    <r>
      <rPr>
        <b/>
        <vertAlign val="subscript"/>
        <sz val="11"/>
        <color indexed="9"/>
        <rFont val="돋움"/>
        <family val="3"/>
      </rPr>
      <t>o(n)</t>
    </r>
  </si>
  <si>
    <r>
      <t>K</t>
    </r>
    <r>
      <rPr>
        <b/>
        <vertAlign val="subscript"/>
        <sz val="11"/>
        <color indexed="9"/>
        <rFont val="돋움"/>
        <family val="3"/>
      </rPr>
      <t>L(n)</t>
    </r>
  </si>
  <si>
    <r>
      <t>I</t>
    </r>
    <r>
      <rPr>
        <b/>
        <vertAlign val="subscript"/>
        <sz val="11"/>
        <color indexed="9"/>
        <rFont val="돋움"/>
        <family val="3"/>
      </rPr>
      <t>D(n)</t>
    </r>
    <r>
      <rPr>
        <b/>
        <vertAlign val="superscript"/>
        <sz val="11"/>
        <color indexed="9"/>
        <rFont val="돋움"/>
        <family val="3"/>
      </rPr>
      <t>rms</t>
    </r>
    <r>
      <rPr>
        <b/>
        <sz val="11"/>
        <color indexed="9"/>
        <rFont val="돋움"/>
        <family val="3"/>
      </rPr>
      <t xml:space="preserve"> </t>
    </r>
  </si>
  <si>
    <r>
      <t>Fill factor (K</t>
    </r>
    <r>
      <rPr>
        <vertAlign val="subscript"/>
        <sz val="11"/>
        <color indexed="12"/>
        <rFont val="돋움"/>
        <family val="3"/>
      </rPr>
      <t>F</t>
    </r>
    <r>
      <rPr>
        <sz val="11"/>
        <color indexed="12"/>
        <rFont val="돋움"/>
        <family val="3"/>
      </rPr>
      <t>)</t>
    </r>
  </si>
  <si>
    <r>
      <t>Required window area (A</t>
    </r>
    <r>
      <rPr>
        <b/>
        <u val="single"/>
        <vertAlign val="subscript"/>
        <sz val="11"/>
        <color indexed="60"/>
        <rFont val="돋움"/>
        <family val="3"/>
      </rPr>
      <t>wr</t>
    </r>
    <r>
      <rPr>
        <b/>
        <u val="single"/>
        <sz val="11"/>
        <color indexed="60"/>
        <rFont val="돋움"/>
        <family val="3"/>
      </rPr>
      <t>)</t>
    </r>
  </si>
  <si>
    <r>
      <t>V</t>
    </r>
    <r>
      <rPr>
        <b/>
        <vertAlign val="subscript"/>
        <sz val="11"/>
        <color indexed="9"/>
        <rFont val="돋움"/>
        <family val="3"/>
      </rPr>
      <t>D(n)</t>
    </r>
  </si>
  <si>
    <r>
      <t>I</t>
    </r>
    <r>
      <rPr>
        <b/>
        <vertAlign val="subscript"/>
        <sz val="11"/>
        <color indexed="8"/>
        <rFont val="돋움"/>
        <family val="3"/>
      </rPr>
      <t>D(n)</t>
    </r>
    <r>
      <rPr>
        <b/>
        <vertAlign val="superscript"/>
        <sz val="11"/>
        <color indexed="8"/>
        <rFont val="돋움"/>
        <family val="3"/>
      </rPr>
      <t>rms</t>
    </r>
  </si>
  <si>
    <r>
      <t>C</t>
    </r>
    <r>
      <rPr>
        <b/>
        <vertAlign val="subscript"/>
        <sz val="11"/>
        <color indexed="9"/>
        <rFont val="돋움"/>
        <family val="3"/>
      </rPr>
      <t>o(n)</t>
    </r>
  </si>
  <si>
    <r>
      <t>R</t>
    </r>
    <r>
      <rPr>
        <b/>
        <vertAlign val="subscript"/>
        <sz val="11"/>
        <color indexed="8"/>
        <rFont val="돋움"/>
        <family val="3"/>
      </rPr>
      <t>C(n)</t>
    </r>
  </si>
  <si>
    <r>
      <t>I</t>
    </r>
    <r>
      <rPr>
        <b/>
        <vertAlign val="subscript"/>
        <sz val="11"/>
        <color indexed="9"/>
        <rFont val="돋움"/>
        <family val="3"/>
      </rPr>
      <t>cap(n)</t>
    </r>
  </si>
  <si>
    <r>
      <t>ΔV</t>
    </r>
    <r>
      <rPr>
        <b/>
        <vertAlign val="subscript"/>
        <sz val="11"/>
        <color indexed="8"/>
        <rFont val="돋움"/>
        <family val="3"/>
      </rPr>
      <t>o(n)</t>
    </r>
  </si>
  <si>
    <t>Gap length (G) ; center pole gap =</t>
  </si>
  <si>
    <t>Primary winding</t>
  </si>
  <si>
    <r>
      <t>Copper area (A</t>
    </r>
    <r>
      <rPr>
        <b/>
        <vertAlign val="subscript"/>
        <sz val="11"/>
        <color indexed="60"/>
        <rFont val="돋움"/>
        <family val="3"/>
      </rPr>
      <t>c</t>
    </r>
    <r>
      <rPr>
        <b/>
        <sz val="11"/>
        <color indexed="60"/>
        <rFont val="돋움"/>
        <family val="3"/>
      </rPr>
      <t>) =</t>
    </r>
  </si>
  <si>
    <r>
      <t>Minimum primary turns (N</t>
    </r>
    <r>
      <rPr>
        <b/>
        <vertAlign val="subscript"/>
        <sz val="11"/>
        <color indexed="60"/>
        <rFont val="돋움"/>
        <family val="3"/>
      </rPr>
      <t>p</t>
    </r>
    <r>
      <rPr>
        <b/>
        <vertAlign val="superscript"/>
        <sz val="11"/>
        <color indexed="60"/>
        <rFont val="돋움"/>
        <family val="3"/>
      </rPr>
      <t>min</t>
    </r>
    <r>
      <rPr>
        <b/>
        <sz val="11"/>
        <color indexed="60"/>
        <rFont val="돋움"/>
        <family val="3"/>
      </rPr>
      <t>)=</t>
    </r>
  </si>
  <si>
    <t xml:space="preserve">A </t>
  </si>
  <si>
    <t>&gt;</t>
  </si>
  <si>
    <t>Ungapped AL value (AL)</t>
  </si>
  <si>
    <t>us</t>
  </si>
  <si>
    <r>
      <t>Minimum Switching frequency of FPS (f</t>
    </r>
    <r>
      <rPr>
        <vertAlign val="subscript"/>
        <sz val="11"/>
        <color indexed="12"/>
        <rFont val="돋움"/>
        <family val="3"/>
      </rPr>
      <t>s_min</t>
    </r>
    <r>
      <rPr>
        <sz val="11"/>
        <color indexed="12"/>
        <rFont val="돋움"/>
        <family val="3"/>
      </rPr>
      <t>)</t>
    </r>
  </si>
  <si>
    <t>Ω</t>
  </si>
  <si>
    <t>by H.S. Choi</t>
  </si>
  <si>
    <t>FPS Design Assistant  for AN4146</t>
  </si>
  <si>
    <t>Ver 1.00</t>
  </si>
  <si>
    <r>
      <t>4.6 &lt; V</t>
    </r>
    <r>
      <rPr>
        <b/>
        <vertAlign val="subscript"/>
        <sz val="11"/>
        <color indexed="10"/>
        <rFont val="돋움"/>
        <family val="3"/>
      </rPr>
      <t>sync</t>
    </r>
    <r>
      <rPr>
        <b/>
        <vertAlign val="superscript"/>
        <sz val="11"/>
        <color indexed="10"/>
        <rFont val="돋움"/>
        <family val="3"/>
      </rPr>
      <t>pk</t>
    </r>
    <r>
      <rPr>
        <b/>
        <sz val="11"/>
        <color indexed="10"/>
        <rFont val="돋움"/>
        <family val="3"/>
      </rPr>
      <t xml:space="preserve"> &lt; 12V (V</t>
    </r>
    <r>
      <rPr>
        <b/>
        <vertAlign val="subscript"/>
        <sz val="11"/>
        <color indexed="10"/>
        <rFont val="돋움"/>
        <family val="3"/>
      </rPr>
      <t>OVP</t>
    </r>
    <r>
      <rPr>
        <b/>
        <sz val="11"/>
        <color indexed="10"/>
        <rFont val="돋움"/>
        <family val="3"/>
      </rPr>
      <t>)</t>
    </r>
  </si>
  <si>
    <t>uA</t>
  </si>
  <si>
    <t>kΩ</t>
  </si>
  <si>
    <t>&lt;</t>
  </si>
  <si>
    <t>Startup resistor</t>
  </si>
  <si>
    <t>kΩ</t>
  </si>
  <si>
    <t>s</t>
  </si>
  <si>
    <t>×</t>
  </si>
  <si>
    <r>
      <t>3. Determine the reflected output (V</t>
    </r>
    <r>
      <rPr>
        <b/>
        <vertAlign val="subscript"/>
        <sz val="11"/>
        <color indexed="9"/>
        <rFont val="돋움"/>
        <family val="3"/>
      </rPr>
      <t>RO</t>
    </r>
    <r>
      <rPr>
        <b/>
        <sz val="11"/>
        <color indexed="9"/>
        <rFont val="돋움"/>
        <family val="3"/>
      </rPr>
      <t xml:space="preserve">) </t>
    </r>
  </si>
  <si>
    <t>4. Determine transformer primary side inductance (Lm)</t>
  </si>
  <si>
    <r>
      <t>Drain voltage falling time (T</t>
    </r>
    <r>
      <rPr>
        <vertAlign val="subscript"/>
        <sz val="11"/>
        <color indexed="12"/>
        <rFont val="돋움"/>
        <family val="3"/>
      </rPr>
      <t>F</t>
    </r>
    <r>
      <rPr>
        <sz val="11"/>
        <color indexed="12"/>
        <rFont val="돋움"/>
        <family val="3"/>
      </rPr>
      <t>)</t>
    </r>
  </si>
  <si>
    <r>
      <t>Maximum duty cycle (D</t>
    </r>
    <r>
      <rPr>
        <b/>
        <vertAlign val="subscript"/>
        <sz val="11"/>
        <color indexed="60"/>
        <rFont val="돋움"/>
        <family val="3"/>
      </rPr>
      <t>max</t>
    </r>
    <r>
      <rPr>
        <b/>
        <sz val="11"/>
        <color indexed="60"/>
        <rFont val="돋움"/>
        <family val="3"/>
      </rPr>
      <t>) =</t>
    </r>
  </si>
  <si>
    <r>
      <t>Vo2 in standby mode (V</t>
    </r>
    <r>
      <rPr>
        <vertAlign val="subscript"/>
        <sz val="11"/>
        <color indexed="12"/>
        <rFont val="돋움"/>
        <family val="3"/>
      </rPr>
      <t>o2</t>
    </r>
    <r>
      <rPr>
        <vertAlign val="superscript"/>
        <sz val="11"/>
        <color indexed="12"/>
        <rFont val="돋움"/>
        <family val="3"/>
      </rPr>
      <t>stby</t>
    </r>
    <r>
      <rPr>
        <sz val="11"/>
        <color indexed="12"/>
        <rFont val="돋움"/>
        <family val="3"/>
      </rPr>
      <t>)</t>
    </r>
  </si>
  <si>
    <r>
      <t>Maximum startup time (T</t>
    </r>
    <r>
      <rPr>
        <b/>
        <vertAlign val="subscript"/>
        <sz val="11"/>
        <color indexed="60"/>
        <rFont val="돋움"/>
        <family val="3"/>
      </rPr>
      <t>str</t>
    </r>
    <r>
      <rPr>
        <b/>
        <vertAlign val="superscript"/>
        <sz val="11"/>
        <color indexed="60"/>
        <rFont val="돋움"/>
        <family val="3"/>
      </rPr>
      <t>max</t>
    </r>
    <r>
      <rPr>
        <b/>
        <sz val="11"/>
        <color indexed="60"/>
        <rFont val="돋움"/>
        <family val="3"/>
      </rPr>
      <t>) =</t>
    </r>
  </si>
  <si>
    <t>Maximum dissipation in startup resistor =</t>
  </si>
  <si>
    <t>mA</t>
  </si>
  <si>
    <t>Effective Vcc capacitor (Ce)</t>
  </si>
  <si>
    <r>
      <t>MOSFET input capacitance (C</t>
    </r>
    <r>
      <rPr>
        <vertAlign val="subscript"/>
        <sz val="11"/>
        <color indexed="12"/>
        <rFont val="돋움"/>
        <family val="3"/>
      </rPr>
      <t>iss</t>
    </r>
    <r>
      <rPr>
        <sz val="11"/>
        <color indexed="12"/>
        <rFont val="돋움"/>
        <family val="3"/>
      </rPr>
      <t>)</t>
    </r>
  </si>
  <si>
    <t>Breakdown voltage of Vcc zener diode</t>
  </si>
  <si>
    <t>V</t>
  </si>
  <si>
    <t>pF</t>
  </si>
  <si>
    <t>at</t>
  </si>
  <si>
    <t>Vac</t>
  </si>
  <si>
    <r>
      <t>Maximum Startup current of FPS (I</t>
    </r>
    <r>
      <rPr>
        <vertAlign val="subscript"/>
        <sz val="11"/>
        <color indexed="12"/>
        <rFont val="돋움"/>
        <family val="3"/>
      </rPr>
      <t>start</t>
    </r>
    <r>
      <rPr>
        <sz val="11"/>
        <color indexed="12"/>
        <rFont val="돋움"/>
        <family val="3"/>
      </rPr>
      <t>)</t>
    </r>
  </si>
  <si>
    <r>
      <t>Maximum operating current of FPS (I</t>
    </r>
    <r>
      <rPr>
        <vertAlign val="subscript"/>
        <sz val="11"/>
        <color indexed="12"/>
        <rFont val="돋움"/>
        <family val="3"/>
      </rPr>
      <t>op</t>
    </r>
    <r>
      <rPr>
        <sz val="11"/>
        <color indexed="12"/>
        <rFont val="돋움"/>
        <family val="3"/>
      </rPr>
      <t>)</t>
    </r>
  </si>
  <si>
    <t>Current consummed by FPS (Icc) =</t>
  </si>
  <si>
    <t>kHz</t>
  </si>
  <si>
    <t>at</t>
  </si>
  <si>
    <t>mA</t>
  </si>
  <si>
    <t>Vcc drop resistor (Rcc)</t>
  </si>
  <si>
    <t xml:space="preserve">9. Determine the wire diameter for each winding </t>
  </si>
  <si>
    <t>10. Choose the rectifier diode in the secondary side</t>
  </si>
  <si>
    <t xml:space="preserve">11. Determine the output capacitor </t>
  </si>
  <si>
    <r>
      <t>Number of turns for primary winding (N</t>
    </r>
    <r>
      <rPr>
        <b/>
        <u val="single"/>
        <vertAlign val="subscript"/>
        <sz val="11"/>
        <color indexed="60"/>
        <rFont val="돋움"/>
        <family val="3"/>
      </rPr>
      <t>p</t>
    </r>
    <r>
      <rPr>
        <b/>
        <u val="single"/>
        <sz val="11"/>
        <color indexed="60"/>
        <rFont val="돋움"/>
        <family val="3"/>
      </rPr>
      <t>)=</t>
    </r>
  </si>
  <si>
    <t>Rectifier diode for Vcc</t>
  </si>
  <si>
    <t>2nd output (Vo2)</t>
  </si>
  <si>
    <t>3rd output  (Vo3)</t>
  </si>
  <si>
    <t>4th output  (Vo4)</t>
  </si>
  <si>
    <t>5th output  (Vo5)</t>
  </si>
  <si>
    <r>
      <t>Peak value of Sync voltage (V</t>
    </r>
    <r>
      <rPr>
        <vertAlign val="subscript"/>
        <sz val="11"/>
        <color indexed="12"/>
        <rFont val="돋움"/>
        <family val="3"/>
      </rPr>
      <t>sync</t>
    </r>
    <r>
      <rPr>
        <vertAlign val="superscript"/>
        <sz val="11"/>
        <color indexed="12"/>
        <rFont val="돋움"/>
        <family val="3"/>
      </rPr>
      <t>pk</t>
    </r>
    <r>
      <rPr>
        <sz val="11"/>
        <color indexed="12"/>
        <rFont val="돋움"/>
        <family val="3"/>
      </rPr>
      <t>)</t>
    </r>
  </si>
  <si>
    <t xml:space="preserve">Effective output capacitance of MOSFET </t>
  </si>
  <si>
    <r>
      <t>Sync capacitor (C</t>
    </r>
    <r>
      <rPr>
        <b/>
        <vertAlign val="subscript"/>
        <sz val="11"/>
        <color indexed="60"/>
        <rFont val="돋움"/>
        <family val="3"/>
      </rPr>
      <t>sy</t>
    </r>
    <r>
      <rPr>
        <b/>
        <sz val="11"/>
        <color indexed="60"/>
        <rFont val="돋움"/>
        <family val="3"/>
      </rPr>
      <t>)</t>
    </r>
  </si>
  <si>
    <r>
      <t>Sync voltage divider resistor (R</t>
    </r>
    <r>
      <rPr>
        <b/>
        <vertAlign val="subscript"/>
        <sz val="11"/>
        <color indexed="60"/>
        <rFont val="돋움"/>
        <family val="3"/>
      </rPr>
      <t>sy2</t>
    </r>
    <r>
      <rPr>
        <b/>
        <sz val="11"/>
        <color indexed="60"/>
        <rFont val="돋움"/>
        <family val="3"/>
      </rPr>
      <t>)</t>
    </r>
  </si>
  <si>
    <r>
      <t>Sync voltage divider resistor (R</t>
    </r>
    <r>
      <rPr>
        <vertAlign val="subscript"/>
        <sz val="11"/>
        <color indexed="12"/>
        <rFont val="돋움"/>
        <family val="3"/>
      </rPr>
      <t>sy1</t>
    </r>
    <r>
      <rPr>
        <sz val="11"/>
        <color indexed="12"/>
        <rFont val="돋움"/>
        <family val="3"/>
      </rPr>
      <t>)</t>
    </r>
  </si>
  <si>
    <t>( Coss + Cr )</t>
  </si>
  <si>
    <t>12. Design the synchronization network</t>
  </si>
  <si>
    <t>Breakdown voltage of zener diode, Dz</t>
  </si>
  <si>
    <r>
      <t>Vo2 in standby mode (V</t>
    </r>
    <r>
      <rPr>
        <b/>
        <vertAlign val="subscript"/>
        <sz val="11"/>
        <color indexed="16"/>
        <rFont val="돋움"/>
        <family val="3"/>
      </rPr>
      <t>o2</t>
    </r>
    <r>
      <rPr>
        <b/>
        <vertAlign val="superscript"/>
        <sz val="11"/>
        <color indexed="16"/>
        <rFont val="돋움"/>
        <family val="3"/>
      </rPr>
      <t>stby</t>
    </r>
    <r>
      <rPr>
        <b/>
        <sz val="11"/>
        <color indexed="16"/>
        <rFont val="돋움"/>
        <family val="3"/>
      </rPr>
      <t>)</t>
    </r>
  </si>
  <si>
    <t>13. Design voltage drop circuit for the burst operation</t>
  </si>
  <si>
    <t>14. Design the feedback control circuit</t>
  </si>
  <si>
    <t>Control-to-output DC gain =</t>
  </si>
  <si>
    <t>rad/s =&gt;</t>
  </si>
  <si>
    <r>
      <t>Control-to-output RHP zero (w</t>
    </r>
    <r>
      <rPr>
        <b/>
        <vertAlign val="subscript"/>
        <sz val="11"/>
        <color indexed="60"/>
        <rFont val="돋움"/>
        <family val="3"/>
      </rPr>
      <t>rz</t>
    </r>
    <r>
      <rPr>
        <b/>
        <sz val="11"/>
        <color indexed="60"/>
        <rFont val="돋움"/>
        <family val="3"/>
      </rPr>
      <t>)=</t>
    </r>
  </si>
  <si>
    <r>
      <t>Control-to-output pole (w</t>
    </r>
    <r>
      <rPr>
        <b/>
        <vertAlign val="subscript"/>
        <sz val="11"/>
        <color indexed="60"/>
        <rFont val="돋움"/>
        <family val="3"/>
      </rPr>
      <t>p</t>
    </r>
    <r>
      <rPr>
        <b/>
        <sz val="11"/>
        <color indexed="60"/>
        <rFont val="돋움"/>
        <family val="3"/>
      </rPr>
      <t>)=</t>
    </r>
  </si>
  <si>
    <r>
      <t>f</t>
    </r>
    <r>
      <rPr>
        <b/>
        <vertAlign val="subscript"/>
        <sz val="11"/>
        <color indexed="60"/>
        <rFont val="돋움"/>
        <family val="3"/>
      </rPr>
      <t>p</t>
    </r>
    <r>
      <rPr>
        <b/>
        <sz val="11"/>
        <color indexed="60"/>
        <rFont val="돋움"/>
        <family val="3"/>
      </rPr>
      <t>=</t>
    </r>
  </si>
  <si>
    <r>
      <t>Voltage divider resistor (R</t>
    </r>
    <r>
      <rPr>
        <vertAlign val="subscript"/>
        <sz val="11"/>
        <color indexed="12"/>
        <rFont val="돋움"/>
        <family val="3"/>
      </rPr>
      <t>1</t>
    </r>
    <r>
      <rPr>
        <sz val="11"/>
        <color indexed="12"/>
        <rFont val="돋움"/>
        <family val="3"/>
      </rPr>
      <t>)</t>
    </r>
  </si>
  <si>
    <t>㏀</t>
  </si>
  <si>
    <r>
      <t>Voltage divider resistor (R</t>
    </r>
    <r>
      <rPr>
        <b/>
        <vertAlign val="subscript"/>
        <sz val="11"/>
        <color indexed="60"/>
        <rFont val="돋움"/>
        <family val="3"/>
      </rPr>
      <t>2</t>
    </r>
    <r>
      <rPr>
        <b/>
        <sz val="11"/>
        <color indexed="60"/>
        <rFont val="돋움"/>
        <family val="3"/>
      </rPr>
      <t>)=</t>
    </r>
  </si>
  <si>
    <r>
      <t>Opto coupler diode resistor (R</t>
    </r>
    <r>
      <rPr>
        <vertAlign val="subscript"/>
        <sz val="11"/>
        <color indexed="12"/>
        <rFont val="돋움"/>
        <family val="3"/>
      </rPr>
      <t>D</t>
    </r>
    <r>
      <rPr>
        <sz val="11"/>
        <color indexed="12"/>
        <rFont val="돋움"/>
        <family val="3"/>
      </rPr>
      <t>)</t>
    </r>
  </si>
  <si>
    <t xml:space="preserve">㏀ </t>
  </si>
  <si>
    <r>
      <t>KA431 Bias resistor (R</t>
    </r>
    <r>
      <rPr>
        <vertAlign val="subscript"/>
        <sz val="11"/>
        <color indexed="12"/>
        <rFont val="돋움"/>
        <family val="3"/>
      </rPr>
      <t>bias</t>
    </r>
    <r>
      <rPr>
        <sz val="11"/>
        <color indexed="12"/>
        <rFont val="돋움"/>
        <family val="3"/>
      </rPr>
      <t>)</t>
    </r>
  </si>
  <si>
    <r>
      <t>Feeback pin capacitor (C</t>
    </r>
    <r>
      <rPr>
        <vertAlign val="subscript"/>
        <sz val="11"/>
        <color indexed="12"/>
        <rFont val="돋움"/>
        <family val="3"/>
      </rPr>
      <t>B</t>
    </r>
    <r>
      <rPr>
        <sz val="11"/>
        <color indexed="12"/>
        <rFont val="돋움"/>
        <family val="3"/>
      </rPr>
      <t>) =</t>
    </r>
  </si>
  <si>
    <r>
      <t>Feedback Capacitor (C</t>
    </r>
    <r>
      <rPr>
        <vertAlign val="subscript"/>
        <sz val="11"/>
        <color indexed="12"/>
        <rFont val="돋움"/>
        <family val="3"/>
      </rPr>
      <t>F</t>
    </r>
    <r>
      <rPr>
        <sz val="11"/>
        <color indexed="12"/>
        <rFont val="돋움"/>
        <family val="3"/>
      </rPr>
      <t>) =</t>
    </r>
  </si>
  <si>
    <r>
      <t>Feedback resistor (R</t>
    </r>
    <r>
      <rPr>
        <vertAlign val="subscript"/>
        <sz val="11"/>
        <color indexed="12"/>
        <rFont val="돋움"/>
        <family val="3"/>
      </rPr>
      <t>F</t>
    </r>
    <r>
      <rPr>
        <sz val="11"/>
        <color indexed="12"/>
        <rFont val="돋움"/>
        <family val="3"/>
      </rPr>
      <t>) =</t>
    </r>
  </si>
  <si>
    <r>
      <t>Feedback integrator gain (w</t>
    </r>
    <r>
      <rPr>
        <b/>
        <vertAlign val="subscript"/>
        <sz val="11"/>
        <color indexed="60"/>
        <rFont val="돋움"/>
        <family val="3"/>
      </rPr>
      <t>i</t>
    </r>
    <r>
      <rPr>
        <b/>
        <sz val="11"/>
        <color indexed="60"/>
        <rFont val="돋움"/>
        <family val="3"/>
      </rPr>
      <t>) =</t>
    </r>
  </si>
  <si>
    <r>
      <t>f</t>
    </r>
    <r>
      <rPr>
        <b/>
        <vertAlign val="subscript"/>
        <sz val="11"/>
        <color indexed="60"/>
        <rFont val="돋움"/>
        <family val="3"/>
      </rPr>
      <t>i</t>
    </r>
    <r>
      <rPr>
        <b/>
        <sz val="11"/>
        <color indexed="60"/>
        <rFont val="돋움"/>
        <family val="3"/>
      </rPr>
      <t>=</t>
    </r>
  </si>
  <si>
    <r>
      <t>Compensator zero (w</t>
    </r>
    <r>
      <rPr>
        <b/>
        <vertAlign val="subscript"/>
        <sz val="11"/>
        <color indexed="60"/>
        <rFont val="돋움"/>
        <family val="3"/>
      </rPr>
      <t>zc</t>
    </r>
    <r>
      <rPr>
        <b/>
        <sz val="11"/>
        <color indexed="60"/>
        <rFont val="돋움"/>
        <family val="3"/>
      </rPr>
      <t>)=</t>
    </r>
  </si>
  <si>
    <r>
      <t>f</t>
    </r>
    <r>
      <rPr>
        <b/>
        <vertAlign val="subscript"/>
        <sz val="11"/>
        <color indexed="60"/>
        <rFont val="돋움"/>
        <family val="3"/>
      </rPr>
      <t>zc</t>
    </r>
    <r>
      <rPr>
        <b/>
        <sz val="11"/>
        <color indexed="60"/>
        <rFont val="돋움"/>
        <family val="3"/>
      </rPr>
      <t>=</t>
    </r>
  </si>
  <si>
    <r>
      <t>Compensator pole (w</t>
    </r>
    <r>
      <rPr>
        <b/>
        <vertAlign val="subscript"/>
        <sz val="11"/>
        <color indexed="60"/>
        <rFont val="돋움"/>
        <family val="3"/>
      </rPr>
      <t>pc</t>
    </r>
    <r>
      <rPr>
        <b/>
        <sz val="11"/>
        <color indexed="60"/>
        <rFont val="돋움"/>
        <family val="3"/>
      </rPr>
      <t>)=</t>
    </r>
  </si>
  <si>
    <r>
      <t>f</t>
    </r>
    <r>
      <rPr>
        <b/>
        <vertAlign val="subscript"/>
        <sz val="11"/>
        <color indexed="60"/>
        <rFont val="돋움"/>
        <family val="3"/>
      </rPr>
      <t>pc</t>
    </r>
    <r>
      <rPr>
        <b/>
        <sz val="11"/>
        <color indexed="60"/>
        <rFont val="돋움"/>
        <family val="3"/>
      </rPr>
      <t>=</t>
    </r>
  </si>
  <si>
    <r>
      <t>f</t>
    </r>
    <r>
      <rPr>
        <b/>
        <vertAlign val="subscript"/>
        <sz val="11"/>
        <color indexed="60"/>
        <rFont val="돋움"/>
        <family val="3"/>
      </rPr>
      <t>z</t>
    </r>
    <r>
      <rPr>
        <b/>
        <sz val="11"/>
        <color indexed="60"/>
        <rFont val="돋움"/>
        <family val="3"/>
      </rPr>
      <t>=</t>
    </r>
  </si>
  <si>
    <t>Hz</t>
  </si>
  <si>
    <r>
      <t>f</t>
    </r>
    <r>
      <rPr>
        <b/>
        <vertAlign val="subscript"/>
        <sz val="11"/>
        <color indexed="60"/>
        <rFont val="돋움"/>
        <family val="3"/>
      </rPr>
      <t>rz</t>
    </r>
    <r>
      <rPr>
        <b/>
        <sz val="11"/>
        <color indexed="60"/>
        <rFont val="돋움"/>
        <family val="3"/>
      </rPr>
      <t>=</t>
    </r>
  </si>
  <si>
    <t>㏀</t>
  </si>
  <si>
    <t>krad/s =&gt;</t>
  </si>
  <si>
    <t>Current transfer ratio of opto coupler (CTR)</t>
  </si>
  <si>
    <r>
      <t>Control-to-output zero (w</t>
    </r>
    <r>
      <rPr>
        <b/>
        <vertAlign val="subscript"/>
        <sz val="11"/>
        <color indexed="60"/>
        <rFont val="돋움"/>
        <family val="3"/>
      </rPr>
      <t>z</t>
    </r>
    <r>
      <rPr>
        <b/>
        <sz val="11"/>
        <color indexed="60"/>
        <rFont val="돋움"/>
        <family val="3"/>
      </rPr>
      <t>) =</t>
    </r>
  </si>
  <si>
    <t xml:space="preserve">1st output (Vo1)  ; regulated by feedback </t>
  </si>
  <si>
    <r>
      <t>Output voltage reflected to primary (V</t>
    </r>
    <r>
      <rPr>
        <vertAlign val="subscript"/>
        <sz val="11"/>
        <color indexed="12"/>
        <rFont val="돋움"/>
        <family val="3"/>
      </rPr>
      <t>RO</t>
    </r>
    <r>
      <rPr>
        <sz val="11"/>
        <color indexed="12"/>
        <rFont val="돋움"/>
        <family val="3"/>
      </rPr>
      <t>)</t>
    </r>
  </si>
  <si>
    <r>
      <t>Maximum nominal Drain voltage (V</t>
    </r>
    <r>
      <rPr>
        <b/>
        <vertAlign val="subscript"/>
        <sz val="11"/>
        <color indexed="60"/>
        <rFont val="돋움"/>
        <family val="3"/>
      </rPr>
      <t>ds</t>
    </r>
    <r>
      <rPr>
        <b/>
        <vertAlign val="superscript"/>
        <sz val="11"/>
        <color indexed="60"/>
        <rFont val="돋움"/>
        <family val="3"/>
      </rPr>
      <t>nom</t>
    </r>
    <r>
      <rPr>
        <b/>
        <sz val="11"/>
        <color indexed="60"/>
        <rFont val="돋움"/>
        <family val="3"/>
      </rPr>
      <t>) =</t>
    </r>
  </si>
  <si>
    <t>Power dissipation of Rcc =</t>
  </si>
  <si>
    <r>
      <t>Typical current limit of FPS (I</t>
    </r>
    <r>
      <rPr>
        <vertAlign val="subscript"/>
        <sz val="11"/>
        <color indexed="12"/>
        <rFont val="돋움"/>
        <family val="3"/>
      </rPr>
      <t>LIM</t>
    </r>
    <r>
      <rPr>
        <sz val="11"/>
        <color indexed="12"/>
        <rFont val="돋움"/>
        <family val="3"/>
      </rPr>
      <t>)</t>
    </r>
  </si>
  <si>
    <t>V in normal mode</t>
  </si>
  <si>
    <r>
      <t>V</t>
    </r>
    <r>
      <rPr>
        <b/>
        <vertAlign val="subscript"/>
        <sz val="11"/>
        <color indexed="60"/>
        <rFont val="돋움"/>
        <family val="3"/>
      </rPr>
      <t>o2</t>
    </r>
    <r>
      <rPr>
        <b/>
        <sz val="11"/>
        <color indexed="60"/>
        <rFont val="돋움"/>
        <family val="3"/>
      </rPr>
      <t>=</t>
    </r>
  </si>
  <si>
    <r>
      <t>Minimum I</t>
    </r>
    <r>
      <rPr>
        <b/>
        <vertAlign val="subscript"/>
        <sz val="11"/>
        <color indexed="16"/>
        <rFont val="돋움"/>
        <family val="3"/>
      </rPr>
      <t>LIM</t>
    </r>
    <r>
      <rPr>
        <b/>
        <sz val="11"/>
        <color indexed="16"/>
        <rFont val="돋움"/>
        <family val="3"/>
      </rPr>
      <t xml:space="preserve"> considering tolerance</t>
    </r>
  </si>
  <si>
    <t>7. Determine the number of turns for each output and Vcc drop circuit</t>
  </si>
  <si>
    <r>
      <t>Maximum flux density in transient (B</t>
    </r>
    <r>
      <rPr>
        <vertAlign val="subscript"/>
        <sz val="11"/>
        <color indexed="12"/>
        <rFont val="돋움"/>
        <family val="3"/>
      </rPr>
      <t>sat</t>
    </r>
    <r>
      <rPr>
        <sz val="11"/>
        <color indexed="12"/>
        <rFont val="돋움"/>
        <family val="3"/>
      </rPr>
      <t>)</t>
    </r>
  </si>
  <si>
    <t>--&gt;</t>
  </si>
  <si>
    <t>T</t>
  </si>
  <si>
    <r>
      <t>N</t>
    </r>
    <r>
      <rPr>
        <b/>
        <vertAlign val="subscript"/>
        <sz val="11"/>
        <color indexed="16"/>
        <rFont val="돋움"/>
        <family val="3"/>
      </rPr>
      <t>p</t>
    </r>
    <r>
      <rPr>
        <b/>
        <sz val="11"/>
        <color indexed="16"/>
        <rFont val="돋움"/>
        <family val="3"/>
      </rPr>
      <t>&gt;</t>
    </r>
  </si>
  <si>
    <r>
      <t>Maximum flux density swing in normal mode (</t>
    </r>
    <r>
      <rPr>
        <sz val="11"/>
        <color indexed="12"/>
        <rFont val="Symbol"/>
        <family val="1"/>
      </rPr>
      <t>D</t>
    </r>
    <r>
      <rPr>
        <sz val="11"/>
        <color indexed="12"/>
        <rFont val="돋움"/>
        <family val="3"/>
      </rPr>
      <t>B)</t>
    </r>
  </si>
  <si>
    <t>8. Determine the startup resistor</t>
  </si>
  <si>
    <t>Blue cells</t>
  </si>
  <si>
    <t>Red cells</t>
  </si>
  <si>
    <t>are the input parameters</t>
  </si>
  <si>
    <t>are the output parameters</t>
  </si>
  <si>
    <r>
      <t>Vcc auxiliary voltage drop ratio (K</t>
    </r>
    <r>
      <rPr>
        <b/>
        <vertAlign val="subscript"/>
        <sz val="11"/>
        <color indexed="60"/>
        <rFont val="돋움"/>
        <family val="3"/>
      </rPr>
      <t>drop</t>
    </r>
    <r>
      <rPr>
        <b/>
        <sz val="11"/>
        <color indexed="60"/>
        <rFont val="돋움"/>
        <family val="3"/>
      </rPr>
      <t>) =</t>
    </r>
  </si>
  <si>
    <r>
      <t>Minimum V</t>
    </r>
    <r>
      <rPr>
        <vertAlign val="subscript"/>
        <sz val="11"/>
        <color indexed="12"/>
        <rFont val="돋움"/>
        <family val="3"/>
      </rPr>
      <t>a</t>
    </r>
    <r>
      <rPr>
        <sz val="11"/>
        <color indexed="12"/>
        <rFont val="돋움"/>
        <family val="3"/>
      </rPr>
      <t xml:space="preserve"> in standby mode (V</t>
    </r>
    <r>
      <rPr>
        <vertAlign val="subscript"/>
        <sz val="11"/>
        <color indexed="12"/>
        <rFont val="돋움"/>
        <family val="3"/>
      </rPr>
      <t>a</t>
    </r>
    <r>
      <rPr>
        <vertAlign val="superscript"/>
        <sz val="11"/>
        <color indexed="12"/>
        <rFont val="돋움"/>
        <family val="3"/>
      </rPr>
      <t>stby</t>
    </r>
    <r>
      <rPr>
        <sz val="11"/>
        <color indexed="12"/>
        <rFont val="돋움"/>
        <family val="3"/>
      </rPr>
      <t>)</t>
    </r>
  </si>
  <si>
    <r>
      <t>V</t>
    </r>
    <r>
      <rPr>
        <b/>
        <vertAlign val="subscript"/>
        <sz val="11"/>
        <color indexed="60"/>
        <rFont val="돋움"/>
        <family val="3"/>
      </rPr>
      <t>a</t>
    </r>
    <r>
      <rPr>
        <b/>
        <sz val="11"/>
        <color indexed="60"/>
        <rFont val="돋움"/>
        <family val="3"/>
      </rPr>
      <t xml:space="preserve"> in normal mode (V</t>
    </r>
    <r>
      <rPr>
        <b/>
        <vertAlign val="subscript"/>
        <sz val="11"/>
        <color indexed="60"/>
        <rFont val="돋움"/>
        <family val="3"/>
      </rPr>
      <t>a</t>
    </r>
    <r>
      <rPr>
        <b/>
        <vertAlign val="superscript"/>
        <sz val="11"/>
        <color indexed="60"/>
        <rFont val="돋움"/>
        <family val="3"/>
      </rPr>
      <t>normal</t>
    </r>
    <r>
      <rPr>
        <b/>
        <sz val="11"/>
        <color indexed="60"/>
        <rFont val="돋움"/>
        <family val="3"/>
      </rPr>
      <t>) =</t>
    </r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</si>
</sst>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\&quot;#,##0;\-&quot;\&quot;#,##0"/>
    <numFmt numFmtId="165" formatCode="&quot;\&quot;#,##0;[Red]\-&quot;\&quot;#,##0"/>
    <numFmt numFmtId="166" formatCode="&quot;\&quot;#,##0.00;\-&quot;\&quot;#,##0.00"/>
    <numFmt numFmtId="167" formatCode="&quot;\&quot;#,##0.00;[Red]\-&quot;\&quot;#,##0.00"/>
    <numFmt numFmtId="168" formatCode="_-&quot;\&quot;* #,##0_-;\-&quot;\&quot;* #,##0_-;_-&quot;\&quot;* &quot;-&quot;_-;_-@_-"/>
    <numFmt numFmtId="169" formatCode="_-* #,##0_-;\-* #,##0_-;_-* &quot;-&quot;_-;_-@_-"/>
    <numFmt numFmtId="170" formatCode="_-&quot;\&quot;* #,##0.00_-;\-&quot;\&quot;* #,##0.00_-;_-&quot;\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0.0_ "/>
    <numFmt numFmtId="177" formatCode="0_ "/>
    <numFmt numFmtId="178" formatCode="0.00_ "/>
    <numFmt numFmtId="179" formatCode="#,##0_ "/>
    <numFmt numFmtId="180" formatCode="0.0_);[Red]\(0.0\)"/>
    <numFmt numFmtId="181" formatCode="_ * #,##0_ ;_ * \-#,##0_ ;_ * &quot;-&quot;_ ;_ @_ "/>
    <numFmt numFmtId="182" formatCode="_ * #,##0.00_ ;_ * \-#,##0.00_ ;_ * &quot;-&quot;??_ ;_ @_ "/>
    <numFmt numFmtId="183" formatCode="0.0"/>
    <numFmt numFmtId="184" formatCode="000\-0000"/>
    <numFmt numFmtId="185" formatCode="0_);[Red]\(0\)"/>
    <numFmt numFmtId="186" formatCode="[$-412]AM/PM\ h:mm:ss"/>
    <numFmt numFmtId="187" formatCode="0.000000000_ "/>
  </numFmts>
  <fonts count="103">
    <font>
      <sz val="11"/>
      <name val="돋움"/>
      <family val="0"/>
    </font>
    <font>
      <sz val="8"/>
      <name val="돋움"/>
      <family val="3"/>
    </font>
    <font>
      <u val="single"/>
      <sz val="11"/>
      <name val="돋움"/>
      <family val="3"/>
    </font>
    <font>
      <b/>
      <sz val="11"/>
      <name val="돋움"/>
      <family val="0"/>
    </font>
    <font>
      <b/>
      <sz val="11"/>
      <color indexed="60"/>
      <name val="돋움"/>
      <family val="3"/>
    </font>
    <font>
      <b/>
      <u val="single"/>
      <sz val="11"/>
      <color indexed="60"/>
      <name val="돋움"/>
      <family val="3"/>
    </font>
    <font>
      <sz val="11"/>
      <color indexed="8"/>
      <name val="돋움"/>
      <family val="3"/>
    </font>
    <font>
      <u val="single"/>
      <sz val="11"/>
      <color indexed="12"/>
      <name val="돋움"/>
      <family val="3"/>
    </font>
    <font>
      <sz val="11"/>
      <color indexed="12"/>
      <name val="돋움"/>
      <family val="3"/>
    </font>
    <font>
      <vertAlign val="superscript"/>
      <sz val="11"/>
      <color indexed="12"/>
      <name val="돋움"/>
      <family val="3"/>
    </font>
    <font>
      <b/>
      <vertAlign val="superscript"/>
      <sz val="11"/>
      <color indexed="60"/>
      <name val="돋움"/>
      <family val="3"/>
    </font>
    <font>
      <u val="single"/>
      <sz val="11"/>
      <color indexed="36"/>
      <name val="돋움"/>
      <family val="3"/>
    </font>
    <font>
      <b/>
      <sz val="11"/>
      <color indexed="9"/>
      <name val="돋움"/>
      <family val="3"/>
    </font>
    <font>
      <b/>
      <sz val="9"/>
      <name val="굴림"/>
      <family val="3"/>
    </font>
    <font>
      <b/>
      <sz val="11"/>
      <color indexed="10"/>
      <name val="돋움"/>
      <family val="3"/>
    </font>
    <font>
      <sz val="11"/>
      <color indexed="10"/>
      <name val="돋움"/>
      <family val="3"/>
    </font>
    <font>
      <b/>
      <sz val="11"/>
      <color indexed="12"/>
      <name val="돋움"/>
      <family val="3"/>
    </font>
    <font>
      <b/>
      <vertAlign val="superscript"/>
      <sz val="11"/>
      <color indexed="12"/>
      <name val="돋움"/>
      <family val="3"/>
    </font>
    <font>
      <b/>
      <sz val="11"/>
      <color indexed="8"/>
      <name val="돋움"/>
      <family val="3"/>
    </font>
    <font>
      <vertAlign val="superscript"/>
      <sz val="11"/>
      <name val="돋움"/>
      <family val="3"/>
    </font>
    <font>
      <sz val="11"/>
      <color indexed="9"/>
      <name val="돋움"/>
      <family val="3"/>
    </font>
    <font>
      <b/>
      <u val="single"/>
      <sz val="11"/>
      <color indexed="8"/>
      <name val="돋움"/>
      <family val="3"/>
    </font>
    <font>
      <sz val="12"/>
      <name val="바탕체"/>
      <family val="1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0"/>
      <name val="Helv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1"/>
      <name val="Helv"/>
      <family val="2"/>
    </font>
    <font>
      <sz val="10"/>
      <name val="MS Sans Serif"/>
      <family val="2"/>
    </font>
    <font>
      <i/>
      <sz val="10"/>
      <name val="Arial"/>
      <family val="2"/>
    </font>
    <font>
      <sz val="10"/>
      <name val="돋움"/>
      <family val="3"/>
    </font>
    <font>
      <b/>
      <sz val="11"/>
      <color indexed="12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0"/>
      <color indexed="10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i/>
      <sz val="10"/>
      <color indexed="10"/>
      <name val="Arial"/>
      <family val="2"/>
    </font>
    <font>
      <sz val="11"/>
      <color indexed="10"/>
      <name val="Arial"/>
      <family val="2"/>
    </font>
    <font>
      <i/>
      <sz val="11"/>
      <color indexed="10"/>
      <name val="Arial"/>
      <family val="2"/>
    </font>
    <font>
      <i/>
      <sz val="11"/>
      <name val="Arial"/>
      <family val="2"/>
    </font>
    <font>
      <sz val="8"/>
      <name val="바탕"/>
      <family val="1"/>
    </font>
    <font>
      <sz val="10"/>
      <color indexed="23"/>
      <name val="Arial"/>
      <family val="2"/>
    </font>
    <font>
      <i/>
      <sz val="10"/>
      <color indexed="23"/>
      <name val="Arial"/>
      <family val="2"/>
    </font>
    <font>
      <sz val="11"/>
      <color indexed="23"/>
      <name val="돋움"/>
      <family val="3"/>
    </font>
    <font>
      <sz val="11"/>
      <color indexed="23"/>
      <name val="Arial"/>
      <family val="2"/>
    </font>
    <font>
      <b/>
      <u val="single"/>
      <sz val="11"/>
      <name val="돋움"/>
      <family val="3"/>
    </font>
    <font>
      <vertAlign val="subscript"/>
      <sz val="11"/>
      <color indexed="12"/>
      <name val="돋움"/>
      <family val="3"/>
    </font>
    <font>
      <b/>
      <vertAlign val="subscript"/>
      <sz val="11"/>
      <color indexed="60"/>
      <name val="돋움"/>
      <family val="3"/>
    </font>
    <font>
      <b/>
      <u val="single"/>
      <vertAlign val="subscript"/>
      <sz val="11"/>
      <color indexed="60"/>
      <name val="돋움"/>
      <family val="3"/>
    </font>
    <font>
      <b/>
      <vertAlign val="subscript"/>
      <sz val="11"/>
      <color indexed="9"/>
      <name val="돋움"/>
      <family val="3"/>
    </font>
    <font>
      <b/>
      <vertAlign val="superscript"/>
      <sz val="11"/>
      <color indexed="9"/>
      <name val="돋움"/>
      <family val="3"/>
    </font>
    <font>
      <b/>
      <vertAlign val="superscript"/>
      <sz val="11"/>
      <color indexed="8"/>
      <name val="돋움"/>
      <family val="3"/>
    </font>
    <font>
      <b/>
      <vertAlign val="subscript"/>
      <sz val="11"/>
      <color indexed="8"/>
      <name val="돋움"/>
      <family val="3"/>
    </font>
    <font>
      <b/>
      <sz val="11"/>
      <color indexed="16"/>
      <name val="돋움"/>
      <family val="3"/>
    </font>
    <font>
      <b/>
      <vertAlign val="subscript"/>
      <sz val="11"/>
      <color indexed="16"/>
      <name val="돋움"/>
      <family val="3"/>
    </font>
    <font>
      <b/>
      <u val="single"/>
      <sz val="11"/>
      <color indexed="10"/>
      <name val="돋움"/>
      <family val="3"/>
    </font>
    <font>
      <b/>
      <vertAlign val="subscript"/>
      <sz val="11"/>
      <color indexed="10"/>
      <name val="돋움"/>
      <family val="3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i/>
      <sz val="12"/>
      <name val="Times New Roman"/>
      <family val="1"/>
    </font>
    <font>
      <b/>
      <vertAlign val="superscript"/>
      <sz val="11"/>
      <color indexed="10"/>
      <name val="돋움"/>
      <family val="3"/>
    </font>
    <font>
      <b/>
      <vertAlign val="superscript"/>
      <sz val="11"/>
      <color indexed="16"/>
      <name val="돋움"/>
      <family val="3"/>
    </font>
    <font>
      <sz val="11"/>
      <color indexed="12"/>
      <name val="Symbol"/>
      <family val="1"/>
    </font>
    <font>
      <sz val="8"/>
      <color indexed="8"/>
      <name val="돋움"/>
      <family val="0"/>
    </font>
    <font>
      <sz val="7.8"/>
      <color indexed="8"/>
      <name val="돋움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돋움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5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85" fillId="2" borderId="0" applyNumberFormat="0" applyBorder="0" applyAlignment="0" applyProtection="0"/>
    <xf numFmtId="0" fontId="85" fillId="3" borderId="0" applyNumberFormat="0" applyBorder="0" applyAlignment="0" applyProtection="0"/>
    <xf numFmtId="0" fontId="85" fillId="4" borderId="0" applyNumberFormat="0" applyBorder="0" applyAlignment="0" applyProtection="0"/>
    <xf numFmtId="0" fontId="85" fillId="5" borderId="0" applyNumberFormat="0" applyBorder="0" applyAlignment="0" applyProtection="0"/>
    <xf numFmtId="0" fontId="85" fillId="6" borderId="0" applyNumberFormat="0" applyBorder="0" applyAlignment="0" applyProtection="0"/>
    <xf numFmtId="0" fontId="85" fillId="7" borderId="0" applyNumberFormat="0" applyBorder="0" applyAlignment="0" applyProtection="0"/>
    <xf numFmtId="0" fontId="85" fillId="8" borderId="0" applyNumberFormat="0" applyBorder="0" applyAlignment="0" applyProtection="0"/>
    <xf numFmtId="0" fontId="85" fillId="9" borderId="0" applyNumberFormat="0" applyBorder="0" applyAlignment="0" applyProtection="0"/>
    <xf numFmtId="0" fontId="85" fillId="10" borderId="0" applyNumberFormat="0" applyBorder="0" applyAlignment="0" applyProtection="0"/>
    <xf numFmtId="0" fontId="85" fillId="11" borderId="0" applyNumberFormat="0" applyBorder="0" applyAlignment="0" applyProtection="0"/>
    <xf numFmtId="0" fontId="85" fillId="12" borderId="0" applyNumberFormat="0" applyBorder="0" applyAlignment="0" applyProtection="0"/>
    <xf numFmtId="0" fontId="85" fillId="13" borderId="0" applyNumberFormat="0" applyBorder="0" applyAlignment="0" applyProtection="0"/>
    <xf numFmtId="0" fontId="86" fillId="14" borderId="0" applyNumberFormat="0" applyBorder="0" applyAlignment="0" applyProtection="0"/>
    <xf numFmtId="0" fontId="86" fillId="15" borderId="0" applyNumberFormat="0" applyBorder="0" applyAlignment="0" applyProtection="0"/>
    <xf numFmtId="0" fontId="86" fillId="16" borderId="0" applyNumberFormat="0" applyBorder="0" applyAlignment="0" applyProtection="0"/>
    <xf numFmtId="0" fontId="86" fillId="17" borderId="0" applyNumberFormat="0" applyBorder="0" applyAlignment="0" applyProtection="0"/>
    <xf numFmtId="0" fontId="86" fillId="18" borderId="0" applyNumberFormat="0" applyBorder="0" applyAlignment="0" applyProtection="0"/>
    <xf numFmtId="0" fontId="86" fillId="19" borderId="0" applyNumberFormat="0" applyBorder="0" applyAlignment="0" applyProtection="0"/>
    <xf numFmtId="0" fontId="86" fillId="20" borderId="0" applyNumberFormat="0" applyBorder="0" applyAlignment="0" applyProtection="0"/>
    <xf numFmtId="0" fontId="86" fillId="21" borderId="0" applyNumberFormat="0" applyBorder="0" applyAlignment="0" applyProtection="0"/>
    <xf numFmtId="0" fontId="86" fillId="22" borderId="0" applyNumberFormat="0" applyBorder="0" applyAlignment="0" applyProtection="0"/>
    <xf numFmtId="0" fontId="86" fillId="23" borderId="0" applyNumberFormat="0" applyBorder="0" applyAlignment="0" applyProtection="0"/>
    <xf numFmtId="0" fontId="86" fillId="24" borderId="0" applyNumberFormat="0" applyBorder="0" applyAlignment="0" applyProtection="0"/>
    <xf numFmtId="0" fontId="86" fillId="25" borderId="0" applyNumberFormat="0" applyBorder="0" applyAlignment="0" applyProtection="0"/>
    <xf numFmtId="0" fontId="87" fillId="26" borderId="0" applyNumberFormat="0" applyBorder="0" applyAlignment="0" applyProtection="0"/>
    <xf numFmtId="0" fontId="88" fillId="27" borderId="1" applyNumberFormat="0" applyAlignment="0" applyProtection="0"/>
    <xf numFmtId="0" fontId="26" fillId="0" borderId="0">
      <alignment/>
      <protection/>
    </xf>
    <xf numFmtId="0" fontId="8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1" fillId="29" borderId="0" applyNumberFormat="0" applyBorder="0" applyAlignment="0" applyProtection="0"/>
    <xf numFmtId="38" fontId="24" fillId="30" borderId="0" applyNumberFormat="0" applyBorder="0" applyAlignment="0" applyProtection="0"/>
    <xf numFmtId="0" fontId="27" fillId="0" borderId="0">
      <alignment horizontal="left"/>
      <protection/>
    </xf>
    <xf numFmtId="0" fontId="28" fillId="0" borderId="3" applyNumberFormat="0" applyAlignment="0" applyProtection="0"/>
    <xf numFmtId="0" fontId="28" fillId="0" borderId="4">
      <alignment horizontal="left" vertical="center"/>
      <protection/>
    </xf>
    <xf numFmtId="0" fontId="92" fillId="0" borderId="5" applyNumberFormat="0" applyFill="0" applyAlignment="0" applyProtection="0"/>
    <xf numFmtId="0" fontId="93" fillId="0" borderId="6" applyNumberFormat="0" applyFill="0" applyAlignment="0" applyProtection="0"/>
    <xf numFmtId="0" fontId="94" fillId="0" borderId="7" applyNumberFormat="0" applyFill="0" applyAlignment="0" applyProtection="0"/>
    <xf numFmtId="0" fontId="9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5" fillId="31" borderId="1" applyNumberFormat="0" applyAlignment="0" applyProtection="0"/>
    <xf numFmtId="10" fontId="24" fillId="30" borderId="8" applyNumberFormat="0" applyBorder="0" applyAlignment="0" applyProtection="0"/>
    <xf numFmtId="0" fontId="96" fillId="0" borderId="9" applyNumberFormat="0" applyFill="0" applyAlignment="0" applyProtection="0"/>
    <xf numFmtId="0" fontId="29" fillId="0" borderId="10">
      <alignment/>
      <protection/>
    </xf>
    <xf numFmtId="0" fontId="97" fillId="32" borderId="0" applyNumberFormat="0" applyBorder="0" applyAlignment="0" applyProtection="0"/>
    <xf numFmtId="184" fontId="0" fillId="0" borderId="0">
      <alignment/>
      <protection/>
    </xf>
    <xf numFmtId="0" fontId="0" fillId="33" borderId="11" applyNumberFormat="0" applyFont="0" applyAlignment="0" applyProtection="0"/>
    <xf numFmtId="0" fontId="98" fillId="27" borderId="12" applyNumberFormat="0" applyAlignment="0" applyProtection="0"/>
    <xf numFmtId="9" fontId="0" fillId="0" borderId="0" applyFont="0" applyFill="0" applyBorder="0" applyAlignment="0" applyProtection="0"/>
    <xf numFmtId="10" fontId="23" fillId="0" borderId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0" fillId="34" borderId="0" applyNumberFormat="0" applyFont="0" applyBorder="0" applyAlignment="0" applyProtection="0"/>
    <xf numFmtId="0" fontId="29" fillId="0" borderId="0">
      <alignment/>
      <protection/>
    </xf>
    <xf numFmtId="0" fontId="99" fillId="0" borderId="0" applyNumberFormat="0" applyFill="0" applyBorder="0" applyAlignment="0" applyProtection="0"/>
    <xf numFmtId="0" fontId="100" fillId="0" borderId="13" applyNumberFormat="0" applyFill="0" applyAlignment="0" applyProtection="0"/>
    <xf numFmtId="0" fontId="101" fillId="0" borderId="0" applyNumberFormat="0" applyFill="0" applyBorder="0" applyAlignment="0" applyProtection="0"/>
    <xf numFmtId="181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0" fontId="24" fillId="0" borderId="0">
      <alignment/>
      <protection/>
    </xf>
  </cellStyleXfs>
  <cellXfs count="356">
    <xf numFmtId="0" fontId="0" fillId="0" borderId="0" xfId="0" applyAlignment="1">
      <alignment/>
    </xf>
    <xf numFmtId="0" fontId="7" fillId="0" borderId="0" xfId="0" applyFont="1" applyFill="1" applyAlignment="1" applyProtection="1">
      <alignment/>
      <protection locked="0"/>
    </xf>
    <xf numFmtId="0" fontId="8" fillId="35" borderId="0" xfId="0" applyFont="1" applyFill="1" applyAlignment="1" applyProtection="1">
      <alignment/>
      <protection locked="0"/>
    </xf>
    <xf numFmtId="0" fontId="23" fillId="30" borderId="0" xfId="0" applyFont="1" applyFill="1" applyAlignment="1">
      <alignment vertical="center"/>
    </xf>
    <xf numFmtId="0" fontId="23" fillId="36" borderId="14" xfId="0" applyFont="1" applyFill="1" applyBorder="1" applyAlignment="1">
      <alignment horizontal="center" vertical="center" wrapText="1"/>
    </xf>
    <xf numFmtId="0" fontId="33" fillId="30" borderId="15" xfId="0" applyFont="1" applyFill="1" applyBorder="1" applyAlignment="1">
      <alignment horizontal="left" vertical="center"/>
    </xf>
    <xf numFmtId="0" fontId="33" fillId="30" borderId="16" xfId="0" applyFont="1" applyFill="1" applyBorder="1" applyAlignment="1">
      <alignment horizontal="left" vertical="center"/>
    </xf>
    <xf numFmtId="0" fontId="25" fillId="30" borderId="0" xfId="0" applyFont="1" applyFill="1" applyBorder="1" applyAlignment="1">
      <alignment horizontal="center" vertical="center"/>
    </xf>
    <xf numFmtId="0" fontId="25" fillId="30" borderId="15" xfId="0" applyFont="1" applyFill="1" applyBorder="1" applyAlignment="1">
      <alignment horizontal="center" vertical="center"/>
    </xf>
    <xf numFmtId="0" fontId="25" fillId="30" borderId="0" xfId="0" applyFont="1" applyFill="1" applyAlignment="1">
      <alignment vertical="center"/>
    </xf>
    <xf numFmtId="0" fontId="44" fillId="36" borderId="17" xfId="0" applyFont="1" applyFill="1" applyBorder="1" applyAlignment="1">
      <alignment horizontal="left" vertical="center"/>
    </xf>
    <xf numFmtId="0" fontId="45" fillId="36" borderId="17" xfId="0" applyFont="1" applyFill="1" applyBorder="1" applyAlignment="1">
      <alignment horizontal="left" vertical="center"/>
    </xf>
    <xf numFmtId="0" fontId="44" fillId="30" borderId="17" xfId="0" applyFont="1" applyFill="1" applyBorder="1" applyAlignment="1">
      <alignment horizontal="center" vertical="center"/>
    </xf>
    <xf numFmtId="0" fontId="44" fillId="30" borderId="18" xfId="0" applyFont="1" applyFill="1" applyBorder="1" applyAlignment="1">
      <alignment horizontal="center" vertical="center"/>
    </xf>
    <xf numFmtId="183" fontId="44" fillId="30" borderId="17" xfId="0" applyNumberFormat="1" applyFont="1" applyFill="1" applyBorder="1" applyAlignment="1">
      <alignment horizontal="center" vertical="center"/>
    </xf>
    <xf numFmtId="0" fontId="44" fillId="30" borderId="19" xfId="0" applyFont="1" applyFill="1" applyBorder="1" applyAlignment="1">
      <alignment horizontal="center" vertical="center"/>
    </xf>
    <xf numFmtId="0" fontId="44" fillId="30" borderId="17" xfId="0" applyFont="1" applyFill="1" applyBorder="1" applyAlignment="1">
      <alignment horizontal="center" vertical="center" wrapText="1"/>
    </xf>
    <xf numFmtId="0" fontId="44" fillId="30" borderId="19" xfId="0" applyFont="1" applyFill="1" applyBorder="1" applyAlignment="1">
      <alignment vertical="center"/>
    </xf>
    <xf numFmtId="0" fontId="44" fillId="30" borderId="0" xfId="0" applyFont="1" applyFill="1" applyAlignment="1">
      <alignment vertical="center"/>
    </xf>
    <xf numFmtId="0" fontId="44" fillId="30" borderId="16" xfId="0" applyFont="1" applyFill="1" applyBorder="1" applyAlignment="1">
      <alignment horizontal="center" vertical="center"/>
    </xf>
    <xf numFmtId="0" fontId="44" fillId="30" borderId="14" xfId="0" applyFont="1" applyFill="1" applyBorder="1" applyAlignment="1">
      <alignment horizontal="center" vertical="center" wrapText="1"/>
    </xf>
    <xf numFmtId="0" fontId="44" fillId="30" borderId="20" xfId="0" applyFont="1" applyFill="1" applyBorder="1" applyAlignment="1">
      <alignment horizontal="center" vertical="center" wrapText="1"/>
    </xf>
    <xf numFmtId="0" fontId="44" fillId="30" borderId="21" xfId="0" applyFont="1" applyFill="1" applyBorder="1" applyAlignment="1">
      <alignment vertical="center"/>
    </xf>
    <xf numFmtId="0" fontId="44" fillId="30" borderId="14" xfId="0" applyFont="1" applyFill="1" applyBorder="1" applyAlignment="1">
      <alignment horizontal="center" vertical="center"/>
    </xf>
    <xf numFmtId="0" fontId="44" fillId="36" borderId="20" xfId="0" applyFont="1" applyFill="1" applyBorder="1" applyAlignment="1">
      <alignment horizontal="left" vertical="center"/>
    </xf>
    <xf numFmtId="0" fontId="45" fillId="36" borderId="20" xfId="0" applyFont="1" applyFill="1" applyBorder="1" applyAlignment="1">
      <alignment horizontal="left" vertical="center"/>
    </xf>
    <xf numFmtId="0" fontId="44" fillId="30" borderId="20" xfId="0" applyFont="1" applyFill="1" applyBorder="1" applyAlignment="1">
      <alignment horizontal="center" vertical="center"/>
    </xf>
    <xf numFmtId="183" fontId="44" fillId="30" borderId="20" xfId="0" applyNumberFormat="1" applyFont="1" applyFill="1" applyBorder="1" applyAlignment="1">
      <alignment horizontal="center" vertical="center"/>
    </xf>
    <xf numFmtId="0" fontId="44" fillId="36" borderId="22" xfId="0" applyFont="1" applyFill="1" applyBorder="1" applyAlignment="1">
      <alignment horizontal="left" vertical="center"/>
    </xf>
    <xf numFmtId="0" fontId="45" fillId="36" borderId="22" xfId="0" applyFont="1" applyFill="1" applyBorder="1" applyAlignment="1">
      <alignment horizontal="left" vertical="center"/>
    </xf>
    <xf numFmtId="0" fontId="44" fillId="30" borderId="22" xfId="0" applyFont="1" applyFill="1" applyBorder="1" applyAlignment="1">
      <alignment horizontal="center" vertical="center"/>
    </xf>
    <xf numFmtId="183" fontId="44" fillId="30" borderId="22" xfId="0" applyNumberFormat="1" applyFont="1" applyFill="1" applyBorder="1" applyAlignment="1">
      <alignment horizontal="center" vertical="center"/>
    </xf>
    <xf numFmtId="0" fontId="44" fillId="30" borderId="17" xfId="0" applyFont="1" applyFill="1" applyBorder="1" applyAlignment="1">
      <alignment horizontal="left" vertical="center"/>
    </xf>
    <xf numFmtId="0" fontId="44" fillId="30" borderId="14" xfId="0" applyFont="1" applyFill="1" applyBorder="1" applyAlignment="1">
      <alignment vertical="center"/>
    </xf>
    <xf numFmtId="0" fontId="44" fillId="30" borderId="21" xfId="0" applyFont="1" applyFill="1" applyBorder="1" applyAlignment="1">
      <alignment horizontal="center" vertical="center"/>
    </xf>
    <xf numFmtId="0" fontId="44" fillId="30" borderId="23" xfId="0" applyFont="1" applyFill="1" applyBorder="1" applyAlignment="1">
      <alignment horizontal="center" vertical="center"/>
    </xf>
    <xf numFmtId="0" fontId="44" fillId="30" borderId="22" xfId="0" applyFont="1" applyFill="1" applyBorder="1" applyAlignment="1">
      <alignment vertical="center"/>
    </xf>
    <xf numFmtId="0" fontId="25" fillId="30" borderId="15" xfId="0" applyFont="1" applyFill="1" applyBorder="1" applyAlignment="1">
      <alignment vertical="center"/>
    </xf>
    <xf numFmtId="0" fontId="23" fillId="30" borderId="15" xfId="0" applyFont="1" applyFill="1" applyBorder="1" applyAlignment="1">
      <alignment horizontal="center" vertical="center"/>
    </xf>
    <xf numFmtId="0" fontId="25" fillId="30" borderId="16" xfId="0" applyFont="1" applyFill="1" applyBorder="1" applyAlignment="1">
      <alignment horizontal="center" vertical="center"/>
    </xf>
    <xf numFmtId="0" fontId="25" fillId="30" borderId="15" xfId="0" applyFont="1" applyFill="1" applyBorder="1" applyAlignment="1">
      <alignment horizontal="right" vertical="center"/>
    </xf>
    <xf numFmtId="0" fontId="44" fillId="30" borderId="17" xfId="0" applyFont="1" applyFill="1" applyBorder="1" applyAlignment="1">
      <alignment vertical="center"/>
    </xf>
    <xf numFmtId="0" fontId="44" fillId="30" borderId="20" xfId="0" applyFont="1" applyFill="1" applyBorder="1" applyAlignment="1">
      <alignment vertical="center"/>
    </xf>
    <xf numFmtId="0" fontId="44" fillId="36" borderId="14" xfId="0" applyFont="1" applyFill="1" applyBorder="1" applyAlignment="1">
      <alignment horizontal="left" vertical="center"/>
    </xf>
    <xf numFmtId="0" fontId="45" fillId="36" borderId="14" xfId="0" applyFont="1" applyFill="1" applyBorder="1" applyAlignment="1">
      <alignment horizontal="left" vertical="center"/>
    </xf>
    <xf numFmtId="0" fontId="25" fillId="30" borderId="18" xfId="0" applyFont="1" applyFill="1" applyBorder="1" applyAlignment="1">
      <alignment vertical="center"/>
    </xf>
    <xf numFmtId="0" fontId="23" fillId="30" borderId="18" xfId="0" applyFont="1" applyFill="1" applyBorder="1" applyAlignment="1">
      <alignment horizontal="center" vertical="center"/>
    </xf>
    <xf numFmtId="0" fontId="25" fillId="30" borderId="19" xfId="0" applyFont="1" applyFill="1" applyBorder="1" applyAlignment="1">
      <alignment horizontal="center" vertical="center"/>
    </xf>
    <xf numFmtId="0" fontId="25" fillId="30" borderId="18" xfId="0" applyFont="1" applyFill="1" applyBorder="1" applyAlignment="1">
      <alignment horizontal="center" vertical="center"/>
    </xf>
    <xf numFmtId="0" fontId="25" fillId="30" borderId="18" xfId="0" applyFont="1" applyFill="1" applyBorder="1" applyAlignment="1">
      <alignment horizontal="right" vertical="center"/>
    </xf>
    <xf numFmtId="0" fontId="23" fillId="36" borderId="17" xfId="0" applyFont="1" applyFill="1" applyBorder="1" applyAlignment="1">
      <alignment horizontal="left" vertical="center"/>
    </xf>
    <xf numFmtId="0" fontId="31" fillId="36" borderId="17" xfId="0" applyFont="1" applyFill="1" applyBorder="1" applyAlignment="1">
      <alignment horizontal="left" vertical="center"/>
    </xf>
    <xf numFmtId="0" fontId="23" fillId="30" borderId="17" xfId="0" applyFont="1" applyFill="1" applyBorder="1" applyAlignment="1">
      <alignment horizontal="center" vertical="center"/>
    </xf>
    <xf numFmtId="183" fontId="23" fillId="30" borderId="17" xfId="0" applyNumberFormat="1" applyFont="1" applyFill="1" applyBorder="1" applyAlignment="1">
      <alignment horizontal="center" vertical="center"/>
    </xf>
    <xf numFmtId="0" fontId="23" fillId="30" borderId="19" xfId="0" applyFont="1" applyFill="1" applyBorder="1" applyAlignment="1">
      <alignment horizontal="center" vertical="center"/>
    </xf>
    <xf numFmtId="0" fontId="23" fillId="30" borderId="17" xfId="0" applyFont="1" applyFill="1" applyBorder="1" applyAlignment="1">
      <alignment horizontal="center" vertical="center" wrapText="1"/>
    </xf>
    <xf numFmtId="0" fontId="23" fillId="30" borderId="17" xfId="0" applyFont="1" applyFill="1" applyBorder="1" applyAlignment="1">
      <alignment horizontal="left" vertical="center" indent="1"/>
    </xf>
    <xf numFmtId="14" fontId="0" fillId="30" borderId="0" xfId="0" applyNumberFormat="1" applyFill="1" applyAlignment="1">
      <alignment/>
    </xf>
    <xf numFmtId="0" fontId="23" fillId="30" borderId="20" xfId="0" applyFont="1" applyFill="1" applyBorder="1" applyAlignment="1">
      <alignment vertical="center"/>
    </xf>
    <xf numFmtId="0" fontId="23" fillId="36" borderId="22" xfId="0" applyFont="1" applyFill="1" applyBorder="1" applyAlignment="1">
      <alignment horizontal="left" vertical="center"/>
    </xf>
    <xf numFmtId="0" fontId="31" fillId="36" borderId="22" xfId="0" applyFont="1" applyFill="1" applyBorder="1" applyAlignment="1">
      <alignment horizontal="left" vertical="center"/>
    </xf>
    <xf numFmtId="0" fontId="23" fillId="30" borderId="22" xfId="0" applyFont="1" applyFill="1" applyBorder="1" applyAlignment="1">
      <alignment horizontal="center" vertical="center"/>
    </xf>
    <xf numFmtId="183" fontId="23" fillId="30" borderId="22" xfId="0" applyNumberFormat="1" applyFont="1" applyFill="1" applyBorder="1" applyAlignment="1">
      <alignment horizontal="center" vertical="center"/>
    </xf>
    <xf numFmtId="0" fontId="23" fillId="30" borderId="23" xfId="0" applyFont="1" applyFill="1" applyBorder="1" applyAlignment="1">
      <alignment horizontal="center" vertical="center"/>
    </xf>
    <xf numFmtId="0" fontId="23" fillId="30" borderId="14" xfId="0" applyFont="1" applyFill="1" applyBorder="1" applyAlignment="1">
      <alignment horizontal="center" vertical="center"/>
    </xf>
    <xf numFmtId="0" fontId="23" fillId="30" borderId="14" xfId="0" applyFont="1" applyFill="1" applyBorder="1" applyAlignment="1">
      <alignment vertical="center"/>
    </xf>
    <xf numFmtId="0" fontId="23" fillId="30" borderId="17" xfId="0" applyFont="1" applyFill="1" applyBorder="1" applyAlignment="1">
      <alignment vertical="center"/>
    </xf>
    <xf numFmtId="0" fontId="23" fillId="36" borderId="20" xfId="0" applyFont="1" applyFill="1" applyBorder="1" applyAlignment="1">
      <alignment horizontal="left" vertical="center"/>
    </xf>
    <xf numFmtId="0" fontId="37" fillId="36" borderId="20" xfId="0" applyFont="1" applyFill="1" applyBorder="1" applyAlignment="1">
      <alignment horizontal="left" vertical="center"/>
    </xf>
    <xf numFmtId="0" fontId="23" fillId="30" borderId="20" xfId="0" applyFont="1" applyFill="1" applyBorder="1" applyAlignment="1">
      <alignment horizontal="center" vertical="center"/>
    </xf>
    <xf numFmtId="0" fontId="37" fillId="36" borderId="17" xfId="0" applyFont="1" applyFill="1" applyBorder="1" applyAlignment="1">
      <alignment horizontal="left" vertical="center"/>
    </xf>
    <xf numFmtId="0" fontId="23" fillId="30" borderId="20" xfId="0" applyFont="1" applyFill="1" applyBorder="1" applyAlignment="1">
      <alignment horizontal="left" vertical="center" indent="1"/>
    </xf>
    <xf numFmtId="0" fontId="31" fillId="36" borderId="20" xfId="0" applyFont="1" applyFill="1" applyBorder="1" applyAlignment="1">
      <alignment horizontal="left" vertical="center"/>
    </xf>
    <xf numFmtId="183" fontId="23" fillId="30" borderId="20" xfId="0" applyNumberFormat="1" applyFont="1" applyFill="1" applyBorder="1" applyAlignment="1">
      <alignment horizontal="center" vertical="center"/>
    </xf>
    <xf numFmtId="0" fontId="23" fillId="30" borderId="21" xfId="0" applyFont="1" applyFill="1" applyBorder="1" applyAlignment="1">
      <alignment horizontal="center" vertical="center"/>
    </xf>
    <xf numFmtId="14" fontId="34" fillId="30" borderId="0" xfId="0" applyNumberFormat="1" applyFont="1" applyFill="1" applyAlignment="1">
      <alignment/>
    </xf>
    <xf numFmtId="0" fontId="34" fillId="36" borderId="20" xfId="0" applyFont="1" applyFill="1" applyBorder="1" applyAlignment="1">
      <alignment horizontal="left" vertical="center"/>
    </xf>
    <xf numFmtId="0" fontId="34" fillId="30" borderId="20" xfId="0" applyFont="1" applyFill="1" applyBorder="1" applyAlignment="1">
      <alignment horizontal="center" vertical="center"/>
    </xf>
    <xf numFmtId="2" fontId="34" fillId="30" borderId="20" xfId="0" applyNumberFormat="1" applyFont="1" applyFill="1" applyBorder="1" applyAlignment="1">
      <alignment horizontal="center" vertical="center"/>
    </xf>
    <xf numFmtId="183" fontId="34" fillId="30" borderId="20" xfId="0" applyNumberFormat="1" applyFont="1" applyFill="1" applyBorder="1" applyAlignment="1">
      <alignment horizontal="center" vertical="center"/>
    </xf>
    <xf numFmtId="0" fontId="34" fillId="30" borderId="21" xfId="0" applyFont="1" applyFill="1" applyBorder="1" applyAlignment="1">
      <alignment horizontal="center" vertical="center"/>
    </xf>
    <xf numFmtId="0" fontId="34" fillId="30" borderId="20" xfId="0" applyFont="1" applyFill="1" applyBorder="1" applyAlignment="1">
      <alignment vertical="center"/>
    </xf>
    <xf numFmtId="0" fontId="34" fillId="30" borderId="0" xfId="0" applyFont="1" applyFill="1" applyAlignment="1">
      <alignment vertical="center"/>
    </xf>
    <xf numFmtId="0" fontId="34" fillId="36" borderId="17" xfId="0" applyFont="1" applyFill="1" applyBorder="1" applyAlignment="1">
      <alignment horizontal="left" vertical="center"/>
    </xf>
    <xf numFmtId="0" fontId="35" fillId="36" borderId="17" xfId="0" applyFont="1" applyFill="1" applyBorder="1" applyAlignment="1">
      <alignment horizontal="left" vertical="center"/>
    </xf>
    <xf numFmtId="0" fontId="34" fillId="30" borderId="17" xfId="0" applyFont="1" applyFill="1" applyBorder="1" applyAlignment="1">
      <alignment horizontal="center" vertical="center"/>
    </xf>
    <xf numFmtId="183" fontId="34" fillId="30" borderId="17" xfId="0" applyNumberFormat="1" applyFont="1" applyFill="1" applyBorder="1" applyAlignment="1">
      <alignment horizontal="center" vertical="center"/>
    </xf>
    <xf numFmtId="0" fontId="34" fillId="30" borderId="19" xfId="0" applyFont="1" applyFill="1" applyBorder="1" applyAlignment="1">
      <alignment horizontal="center" vertical="center" wrapText="1"/>
    </xf>
    <xf numFmtId="0" fontId="23" fillId="30" borderId="21" xfId="0" applyFont="1" applyFill="1" applyBorder="1" applyAlignment="1">
      <alignment horizontal="center" vertical="center" wrapText="1"/>
    </xf>
    <xf numFmtId="0" fontId="36" fillId="36" borderId="20" xfId="0" applyFont="1" applyFill="1" applyBorder="1" applyAlignment="1">
      <alignment horizontal="left" vertical="center"/>
    </xf>
    <xf numFmtId="0" fontId="36" fillId="30" borderId="20" xfId="0" applyFont="1" applyFill="1" applyBorder="1" applyAlignment="1">
      <alignment horizontal="center" vertical="center"/>
    </xf>
    <xf numFmtId="183" fontId="36" fillId="30" borderId="20" xfId="0" applyNumberFormat="1" applyFont="1" applyFill="1" applyBorder="1" applyAlignment="1">
      <alignment horizontal="center" vertical="center"/>
    </xf>
    <xf numFmtId="0" fontId="36" fillId="30" borderId="21" xfId="0" applyFont="1" applyFill="1" applyBorder="1" applyAlignment="1">
      <alignment horizontal="center" vertical="center" wrapText="1"/>
    </xf>
    <xf numFmtId="0" fontId="36" fillId="30" borderId="0" xfId="0" applyFont="1" applyFill="1" applyAlignment="1">
      <alignment vertical="center"/>
    </xf>
    <xf numFmtId="0" fontId="23" fillId="30" borderId="23" xfId="0" applyFont="1" applyFill="1" applyBorder="1" applyAlignment="1">
      <alignment horizontal="center" vertical="center" wrapText="1"/>
    </xf>
    <xf numFmtId="0" fontId="36" fillId="30" borderId="17" xfId="0" applyFont="1" applyFill="1" applyBorder="1" applyAlignment="1">
      <alignment horizontal="center" vertical="center"/>
    </xf>
    <xf numFmtId="0" fontId="25" fillId="30" borderId="24" xfId="0" applyFont="1" applyFill="1" applyBorder="1" applyAlignment="1">
      <alignment vertical="center"/>
    </xf>
    <xf numFmtId="0" fontId="23" fillId="30" borderId="24" xfId="0" applyFont="1" applyFill="1" applyBorder="1" applyAlignment="1">
      <alignment horizontal="center" vertical="center"/>
    </xf>
    <xf numFmtId="0" fontId="25" fillId="30" borderId="23" xfId="0" applyFont="1" applyFill="1" applyBorder="1" applyAlignment="1">
      <alignment horizontal="center" vertical="center"/>
    </xf>
    <xf numFmtId="0" fontId="25" fillId="30" borderId="24" xfId="0" applyFont="1" applyFill="1" applyBorder="1" applyAlignment="1">
      <alignment horizontal="center" vertical="center"/>
    </xf>
    <xf numFmtId="0" fontId="25" fillId="30" borderId="24" xfId="0" applyFont="1" applyFill="1" applyBorder="1" applyAlignment="1">
      <alignment horizontal="right" vertical="center"/>
    </xf>
    <xf numFmtId="176" fontId="44" fillId="30" borderId="17" xfId="0" applyNumberFormat="1" applyFont="1" applyFill="1" applyBorder="1" applyAlignment="1">
      <alignment horizontal="center" vertical="center"/>
    </xf>
    <xf numFmtId="0" fontId="34" fillId="30" borderId="19" xfId="0" applyFont="1" applyFill="1" applyBorder="1" applyAlignment="1">
      <alignment horizontal="center" vertical="center"/>
    </xf>
    <xf numFmtId="0" fontId="34" fillId="30" borderId="17" xfId="0" applyFont="1" applyFill="1" applyBorder="1" applyAlignment="1">
      <alignment horizontal="left" vertical="center"/>
    </xf>
    <xf numFmtId="0" fontId="34" fillId="36" borderId="22" xfId="0" applyFont="1" applyFill="1" applyBorder="1" applyAlignment="1">
      <alignment horizontal="left" vertical="center"/>
    </xf>
    <xf numFmtId="0" fontId="35" fillId="36" borderId="22" xfId="0" applyFont="1" applyFill="1" applyBorder="1" applyAlignment="1">
      <alignment horizontal="left" vertical="center"/>
    </xf>
    <xf numFmtId="0" fontId="34" fillId="30" borderId="22" xfId="0" applyFont="1" applyFill="1" applyBorder="1" applyAlignment="1">
      <alignment horizontal="center" vertical="center"/>
    </xf>
    <xf numFmtId="176" fontId="34" fillId="30" borderId="22" xfId="0" applyNumberFormat="1" applyFont="1" applyFill="1" applyBorder="1" applyAlignment="1">
      <alignment horizontal="center" vertical="center"/>
    </xf>
    <xf numFmtId="0" fontId="34" fillId="30" borderId="23" xfId="0" applyFont="1" applyFill="1" applyBorder="1" applyAlignment="1">
      <alignment horizontal="center" vertical="center"/>
    </xf>
    <xf numFmtId="0" fontId="38" fillId="30" borderId="0" xfId="0" applyFont="1" applyFill="1" applyAlignment="1">
      <alignment vertical="center"/>
    </xf>
    <xf numFmtId="0" fontId="35" fillId="36" borderId="20" xfId="0" applyFont="1" applyFill="1" applyBorder="1" applyAlignment="1">
      <alignment horizontal="left" vertical="center"/>
    </xf>
    <xf numFmtId="0" fontId="34" fillId="30" borderId="17" xfId="0" applyFont="1" applyFill="1" applyBorder="1" applyAlignment="1">
      <alignment horizontal="center" vertical="center" wrapText="1"/>
    </xf>
    <xf numFmtId="183" fontId="34" fillId="30" borderId="22" xfId="0" applyNumberFormat="1" applyFont="1" applyFill="1" applyBorder="1" applyAlignment="1">
      <alignment horizontal="center" vertical="center"/>
    </xf>
    <xf numFmtId="0" fontId="34" fillId="30" borderId="22" xfId="0" applyFont="1" applyFill="1" applyBorder="1" applyAlignment="1">
      <alignment horizontal="center" vertical="center" wrapText="1"/>
    </xf>
    <xf numFmtId="0" fontId="34" fillId="30" borderId="20" xfId="0" applyFont="1" applyFill="1" applyBorder="1" applyAlignment="1">
      <alignment horizontal="center" vertical="center" wrapText="1"/>
    </xf>
    <xf numFmtId="0" fontId="34" fillId="30" borderId="20" xfId="0" applyFont="1" applyFill="1" applyBorder="1" applyAlignment="1">
      <alignment horizontal="left" vertical="center"/>
    </xf>
    <xf numFmtId="0" fontId="34" fillId="30" borderId="25" xfId="0" applyFont="1" applyFill="1" applyBorder="1" applyAlignment="1">
      <alignment horizontal="center" vertical="center"/>
    </xf>
    <xf numFmtId="49" fontId="34" fillId="30" borderId="19" xfId="0" applyNumberFormat="1" applyFont="1" applyFill="1" applyBorder="1" applyAlignment="1">
      <alignment horizontal="center" vertical="center"/>
    </xf>
    <xf numFmtId="0" fontId="36" fillId="36" borderId="22" xfId="0" applyFont="1" applyFill="1" applyBorder="1" applyAlignment="1">
      <alignment horizontal="left" vertical="center"/>
    </xf>
    <xf numFmtId="0" fontId="37" fillId="36" borderId="22" xfId="0" applyFont="1" applyFill="1" applyBorder="1" applyAlignment="1">
      <alignment horizontal="left" vertical="center"/>
    </xf>
    <xf numFmtId="0" fontId="36" fillId="30" borderId="22" xfId="0" applyFont="1" applyFill="1" applyBorder="1" applyAlignment="1">
      <alignment horizontal="center" vertical="center"/>
    </xf>
    <xf numFmtId="183" fontId="36" fillId="30" borderId="22" xfId="0" applyNumberFormat="1" applyFont="1" applyFill="1" applyBorder="1" applyAlignment="1">
      <alignment horizontal="center" vertical="center"/>
    </xf>
    <xf numFmtId="0" fontId="36" fillId="30" borderId="26" xfId="0" applyFont="1" applyFill="1" applyBorder="1" applyAlignment="1">
      <alignment horizontal="center" vertical="center"/>
    </xf>
    <xf numFmtId="0" fontId="36" fillId="30" borderId="23" xfId="0" applyFont="1" applyFill="1" applyBorder="1" applyAlignment="1">
      <alignment horizontal="center" vertical="center"/>
    </xf>
    <xf numFmtId="0" fontId="36" fillId="30" borderId="22" xfId="0" applyFont="1" applyFill="1" applyBorder="1" applyAlignment="1">
      <alignment horizontal="center" vertical="center" wrapText="1"/>
    </xf>
    <xf numFmtId="0" fontId="36" fillId="30" borderId="22" xfId="0" applyFont="1" applyFill="1" applyBorder="1" applyAlignment="1">
      <alignment horizontal="left" vertical="center"/>
    </xf>
    <xf numFmtId="14" fontId="46" fillId="30" borderId="0" xfId="0" applyNumberFormat="1" applyFont="1" applyFill="1" applyAlignment="1">
      <alignment/>
    </xf>
    <xf numFmtId="0" fontId="36" fillId="30" borderId="20" xfId="0" applyFont="1" applyFill="1" applyBorder="1" applyAlignment="1">
      <alignment horizontal="left" vertical="center"/>
    </xf>
    <xf numFmtId="0" fontId="36" fillId="36" borderId="14" xfId="0" applyFont="1" applyFill="1" applyBorder="1" applyAlignment="1">
      <alignment horizontal="left" vertical="center"/>
    </xf>
    <xf numFmtId="0" fontId="37" fillId="36" borderId="14" xfId="0" applyFont="1" applyFill="1" applyBorder="1" applyAlignment="1">
      <alignment horizontal="left" vertical="center"/>
    </xf>
    <xf numFmtId="0" fontId="36" fillId="30" borderId="14" xfId="0" applyFont="1" applyFill="1" applyBorder="1" applyAlignment="1">
      <alignment horizontal="center" vertical="center"/>
    </xf>
    <xf numFmtId="0" fontId="36" fillId="30" borderId="16" xfId="0" applyFont="1" applyFill="1" applyBorder="1" applyAlignment="1">
      <alignment horizontal="center" vertical="center"/>
    </xf>
    <xf numFmtId="0" fontId="36" fillId="30" borderId="14" xfId="0" applyFont="1" applyFill="1" applyBorder="1" applyAlignment="1">
      <alignment horizontal="center" vertical="center" wrapText="1"/>
    </xf>
    <xf numFmtId="0" fontId="36" fillId="30" borderId="14" xfId="0" applyFont="1" applyFill="1" applyBorder="1" applyAlignment="1">
      <alignment horizontal="left" vertical="center"/>
    </xf>
    <xf numFmtId="0" fontId="36" fillId="30" borderId="21" xfId="0" applyFont="1" applyFill="1" applyBorder="1" applyAlignment="1">
      <alignment horizontal="center" vertical="center"/>
    </xf>
    <xf numFmtId="0" fontId="36" fillId="30" borderId="20" xfId="0" applyFont="1" applyFill="1" applyBorder="1" applyAlignment="1">
      <alignment horizontal="center" vertical="center" wrapText="1"/>
    </xf>
    <xf numFmtId="0" fontId="36" fillId="36" borderId="17" xfId="0" applyFont="1" applyFill="1" applyBorder="1" applyAlignment="1">
      <alignment horizontal="left" vertical="center"/>
    </xf>
    <xf numFmtId="183" fontId="36" fillId="30" borderId="17" xfId="0" applyNumberFormat="1" applyFont="1" applyFill="1" applyBorder="1" applyAlignment="1">
      <alignment horizontal="center" vertical="center"/>
    </xf>
    <xf numFmtId="0" fontId="36" fillId="30" borderId="19" xfId="0" applyFont="1" applyFill="1" applyBorder="1" applyAlignment="1">
      <alignment horizontal="center" vertical="center"/>
    </xf>
    <xf numFmtId="0" fontId="36" fillId="30" borderId="17" xfId="0" applyFont="1" applyFill="1" applyBorder="1" applyAlignment="1">
      <alignment horizontal="center" vertical="center" wrapText="1"/>
    </xf>
    <xf numFmtId="0" fontId="36" fillId="30" borderId="17" xfId="0" applyFont="1" applyFill="1" applyBorder="1" applyAlignment="1">
      <alignment horizontal="left" vertical="center"/>
    </xf>
    <xf numFmtId="0" fontId="38" fillId="30" borderId="0" xfId="0" applyFont="1" applyFill="1" applyBorder="1" applyAlignment="1">
      <alignment horizontal="left" vertical="center" indent="1"/>
    </xf>
    <xf numFmtId="0" fontId="39" fillId="30" borderId="0" xfId="0" applyFont="1" applyFill="1" applyBorder="1" applyAlignment="1">
      <alignment horizontal="left" vertical="center" indent="1"/>
    </xf>
    <xf numFmtId="0" fontId="38" fillId="30" borderId="0" xfId="0" applyFont="1" applyFill="1" applyBorder="1" applyAlignment="1">
      <alignment horizontal="center" vertical="center"/>
    </xf>
    <xf numFmtId="183" fontId="38" fillId="30" borderId="0" xfId="0" applyNumberFormat="1" applyFont="1" applyFill="1" applyBorder="1" applyAlignment="1">
      <alignment horizontal="center" vertical="center"/>
    </xf>
    <xf numFmtId="0" fontId="38" fillId="30" borderId="0" xfId="0" applyFont="1" applyFill="1" applyBorder="1" applyAlignment="1">
      <alignment horizontal="left" vertical="center"/>
    </xf>
    <xf numFmtId="0" fontId="23" fillId="30" borderId="0" xfId="0" applyFont="1" applyFill="1" applyBorder="1" applyAlignment="1">
      <alignment horizontal="center" vertical="center"/>
    </xf>
    <xf numFmtId="0" fontId="23" fillId="30" borderId="0" xfId="0" applyFont="1" applyFill="1" applyBorder="1" applyAlignment="1">
      <alignment horizontal="left" vertical="center" indent="1"/>
    </xf>
    <xf numFmtId="0" fontId="31" fillId="30" borderId="0" xfId="0" applyFont="1" applyFill="1" applyBorder="1" applyAlignment="1">
      <alignment horizontal="left" vertical="center" indent="1"/>
    </xf>
    <xf numFmtId="0" fontId="23" fillId="30" borderId="0" xfId="0" applyFont="1" applyFill="1" applyBorder="1" applyAlignment="1">
      <alignment vertical="center"/>
    </xf>
    <xf numFmtId="0" fontId="34" fillId="36" borderId="18" xfId="0" applyFont="1" applyFill="1" applyBorder="1" applyAlignment="1">
      <alignment horizontal="left" vertical="center" indent="1"/>
    </xf>
    <xf numFmtId="0" fontId="35" fillId="36" borderId="18" xfId="0" applyFont="1" applyFill="1" applyBorder="1" applyAlignment="1">
      <alignment horizontal="left" vertical="center" indent="1"/>
    </xf>
    <xf numFmtId="0" fontId="34" fillId="36" borderId="18" xfId="0" applyFont="1" applyFill="1" applyBorder="1" applyAlignment="1">
      <alignment vertical="center"/>
    </xf>
    <xf numFmtId="0" fontId="34" fillId="30" borderId="0" xfId="0" applyFont="1" applyFill="1" applyAlignment="1">
      <alignment horizontal="center" vertical="center"/>
    </xf>
    <xf numFmtId="0" fontId="34" fillId="36" borderId="0" xfId="0" applyFont="1" applyFill="1" applyBorder="1" applyAlignment="1">
      <alignment horizontal="right" vertical="center"/>
    </xf>
    <xf numFmtId="0" fontId="34" fillId="36" borderId="0" xfId="0" applyFont="1" applyFill="1" applyBorder="1" applyAlignment="1">
      <alignment horizontal="left" vertical="center" indent="1"/>
    </xf>
    <xf numFmtId="0" fontId="34" fillId="36" borderId="0" xfId="0" applyFont="1" applyFill="1" applyBorder="1" applyAlignment="1">
      <alignment vertical="center"/>
    </xf>
    <xf numFmtId="0" fontId="34" fillId="36" borderId="24" xfId="0" applyFont="1" applyFill="1" applyBorder="1" applyAlignment="1">
      <alignment horizontal="right" vertical="center"/>
    </xf>
    <xf numFmtId="0" fontId="34" fillId="36" borderId="24" xfId="0" applyFont="1" applyFill="1" applyBorder="1" applyAlignment="1">
      <alignment horizontal="left" vertical="center" indent="1"/>
    </xf>
    <xf numFmtId="0" fontId="34" fillId="36" borderId="24" xfId="0" applyFont="1" applyFill="1" applyBorder="1" applyAlignment="1">
      <alignment vertical="center"/>
    </xf>
    <xf numFmtId="0" fontId="40" fillId="30" borderId="0" xfId="0" applyFont="1" applyFill="1" applyAlignment="1">
      <alignment horizontal="left" vertical="center" indent="1"/>
    </xf>
    <xf numFmtId="0" fontId="41" fillId="30" borderId="0" xfId="0" applyFont="1" applyFill="1" applyAlignment="1">
      <alignment horizontal="left" vertical="center" indent="1"/>
    </xf>
    <xf numFmtId="0" fontId="25" fillId="30" borderId="0" xfId="0" applyFont="1" applyFill="1" applyAlignment="1">
      <alignment horizontal="center" vertical="center"/>
    </xf>
    <xf numFmtId="0" fontId="47" fillId="30" borderId="0" xfId="0" applyFont="1" applyFill="1" applyAlignment="1">
      <alignment horizontal="left" vertical="center" indent="1"/>
    </xf>
    <xf numFmtId="0" fontId="42" fillId="30" borderId="0" xfId="0" applyFont="1" applyFill="1" applyAlignment="1">
      <alignment horizontal="left" vertical="center" indent="1"/>
    </xf>
    <xf numFmtId="0" fontId="25" fillId="30" borderId="0" xfId="0" applyFont="1" applyFill="1" applyAlignment="1">
      <alignment horizontal="left" vertical="center" indent="1"/>
    </xf>
    <xf numFmtId="0" fontId="25" fillId="0" borderId="0" xfId="0" applyFont="1" applyFill="1" applyAlignment="1">
      <alignment vertical="center"/>
    </xf>
    <xf numFmtId="0" fontId="25" fillId="0" borderId="0" xfId="0" applyFont="1" applyFill="1" applyAlignment="1">
      <alignment horizontal="center" vertical="center"/>
    </xf>
    <xf numFmtId="177" fontId="5" fillId="37" borderId="0" xfId="0" applyNumberFormat="1" applyFont="1" applyFill="1" applyAlignment="1" applyProtection="1">
      <alignment/>
      <protection hidden="1"/>
    </xf>
    <xf numFmtId="0" fontId="0" fillId="0" borderId="0" xfId="0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0" fillId="0" borderId="0" xfId="0" applyNumberFormat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NumberFormat="1" applyAlignment="1" applyProtection="1">
      <alignment/>
      <protection locked="0"/>
    </xf>
    <xf numFmtId="0" fontId="0" fillId="0" borderId="0" xfId="0" applyNumberFormat="1" applyFill="1" applyAlignment="1" applyProtection="1">
      <alignment/>
      <protection locked="0"/>
    </xf>
    <xf numFmtId="0" fontId="20" fillId="0" borderId="0" xfId="0" applyFont="1" applyFill="1" applyAlignment="1" applyProtection="1">
      <alignment/>
      <protection locked="0"/>
    </xf>
    <xf numFmtId="179" fontId="0" fillId="0" borderId="0" xfId="0" applyNumberFormat="1" applyFill="1" applyAlignment="1" applyProtection="1">
      <alignment/>
      <protection locked="0"/>
    </xf>
    <xf numFmtId="0" fontId="20" fillId="0" borderId="0" xfId="0" applyFont="1" applyAlignment="1" applyProtection="1">
      <alignment/>
      <protection locked="0"/>
    </xf>
    <xf numFmtId="0" fontId="8" fillId="0" borderId="0" xfId="0" applyFont="1" applyFill="1" applyAlignment="1" applyProtection="1">
      <alignment/>
      <protection locked="0"/>
    </xf>
    <xf numFmtId="0" fontId="5" fillId="0" borderId="0" xfId="0" applyFont="1" applyFill="1" applyAlignment="1" applyProtection="1">
      <alignment/>
      <protection locked="0"/>
    </xf>
    <xf numFmtId="179" fontId="5" fillId="0" borderId="0" xfId="0" applyNumberFormat="1" applyFont="1" applyFill="1" applyAlignment="1" applyProtection="1">
      <alignment horizontal="right"/>
      <protection locked="0"/>
    </xf>
    <xf numFmtId="0" fontId="4" fillId="0" borderId="0" xfId="0" applyFont="1" applyFill="1" applyAlignment="1" applyProtection="1">
      <alignment/>
      <protection locked="0"/>
    </xf>
    <xf numFmtId="0" fontId="16" fillId="0" borderId="0" xfId="0" applyFont="1" applyFill="1" applyAlignment="1" applyProtection="1">
      <alignment/>
      <protection locked="0"/>
    </xf>
    <xf numFmtId="178" fontId="8" fillId="35" borderId="0" xfId="0" applyNumberFormat="1" applyFont="1" applyFill="1" applyAlignment="1" applyProtection="1">
      <alignment/>
      <protection locked="0"/>
    </xf>
    <xf numFmtId="0" fontId="6" fillId="35" borderId="0" xfId="0" applyFont="1" applyFill="1" applyAlignment="1" applyProtection="1">
      <alignment/>
      <protection locked="0"/>
    </xf>
    <xf numFmtId="0" fontId="8" fillId="35" borderId="0" xfId="0" applyFont="1" applyFill="1" applyAlignment="1" applyProtection="1">
      <alignment/>
      <protection locked="0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2" fillId="35" borderId="0" xfId="0" applyFont="1" applyFill="1" applyAlignment="1" applyProtection="1">
      <alignment/>
      <protection hidden="1"/>
    </xf>
    <xf numFmtId="0" fontId="48" fillId="37" borderId="0" xfId="0" applyFont="1" applyFill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12" fillId="38" borderId="0" xfId="0" applyFont="1" applyFill="1" applyAlignment="1" applyProtection="1">
      <alignment/>
      <protection hidden="1"/>
    </xf>
    <xf numFmtId="0" fontId="0" fillId="38" borderId="0" xfId="0" applyFill="1" applyAlignment="1" applyProtection="1">
      <alignment/>
      <protection hidden="1"/>
    </xf>
    <xf numFmtId="0" fontId="8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39" borderId="0" xfId="0" applyFill="1" applyAlignment="1" applyProtection="1">
      <alignment/>
      <protection hidden="1"/>
    </xf>
    <xf numFmtId="0" fontId="12" fillId="40" borderId="0" xfId="0" applyFont="1" applyFill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176" fontId="5" fillId="37" borderId="0" xfId="0" applyNumberFormat="1" applyFont="1" applyFill="1" applyAlignment="1" applyProtection="1">
      <alignment/>
      <protection hidden="1"/>
    </xf>
    <xf numFmtId="0" fontId="0" fillId="0" borderId="0" xfId="0" applyAlignment="1" applyProtection="1" quotePrefix="1">
      <alignment/>
      <protection hidden="1"/>
    </xf>
    <xf numFmtId="178" fontId="5" fillId="37" borderId="0" xfId="0" applyNumberFormat="1" applyFont="1" applyFill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14" fillId="0" borderId="0" xfId="0" applyFont="1" applyAlignment="1" applyProtection="1">
      <alignment/>
      <protection hidden="1"/>
    </xf>
    <xf numFmtId="0" fontId="7" fillId="0" borderId="0" xfId="0" applyFont="1" applyFill="1" applyAlignment="1" applyProtection="1" quotePrefix="1">
      <alignment/>
      <protection hidden="1"/>
    </xf>
    <xf numFmtId="0" fontId="5" fillId="37" borderId="0" xfId="0" applyFont="1" applyFill="1" applyAlignment="1" applyProtection="1">
      <alignment/>
      <protection hidden="1"/>
    </xf>
    <xf numFmtId="0" fontId="6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7" fillId="0" borderId="0" xfId="0" applyFont="1" applyAlignment="1" applyProtection="1">
      <alignment/>
      <protection hidden="1"/>
    </xf>
    <xf numFmtId="0" fontId="7" fillId="0" borderId="0" xfId="0" applyFont="1" applyFill="1" applyAlignment="1" applyProtection="1">
      <alignment/>
      <protection hidden="1"/>
    </xf>
    <xf numFmtId="0" fontId="8" fillId="0" borderId="0" xfId="0" applyFont="1" applyAlignment="1" applyProtection="1">
      <alignment/>
      <protection hidden="1"/>
    </xf>
    <xf numFmtId="0" fontId="16" fillId="39" borderId="0" xfId="0" applyFont="1" applyFill="1" applyAlignment="1" applyProtection="1">
      <alignment/>
      <protection hidden="1"/>
    </xf>
    <xf numFmtId="0" fontId="0" fillId="0" borderId="0" xfId="0" applyAlignment="1" applyProtection="1">
      <alignment horizontal="right"/>
      <protection hidden="1"/>
    </xf>
    <xf numFmtId="178" fontId="5" fillId="37" borderId="0" xfId="0" applyNumberFormat="1" applyFont="1" applyFill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5" fillId="0" borderId="0" xfId="0" applyFont="1" applyFill="1" applyAlignment="1" applyProtection="1">
      <alignment/>
      <protection hidden="1"/>
    </xf>
    <xf numFmtId="0" fontId="7" fillId="0" borderId="0" xfId="0" applyFont="1" applyFill="1" applyAlignment="1" applyProtection="1">
      <alignment/>
      <protection hidden="1"/>
    </xf>
    <xf numFmtId="0" fontId="8" fillId="0" borderId="0" xfId="0" applyFont="1" applyFill="1" applyAlignment="1" applyProtection="1">
      <alignment/>
      <protection hidden="1"/>
    </xf>
    <xf numFmtId="0" fontId="4" fillId="0" borderId="0" xfId="0" applyFont="1" applyFill="1" applyAlignment="1" applyProtection="1">
      <alignment/>
      <protection hidden="1"/>
    </xf>
    <xf numFmtId="0" fontId="14" fillId="0" borderId="0" xfId="0" applyFont="1" applyFill="1" applyAlignment="1" applyProtection="1">
      <alignment/>
      <protection hidden="1"/>
    </xf>
    <xf numFmtId="0" fontId="15" fillId="0" borderId="0" xfId="0" applyFont="1" applyFill="1" applyAlignment="1" applyProtection="1">
      <alignment/>
      <protection hidden="1"/>
    </xf>
    <xf numFmtId="0" fontId="12" fillId="0" borderId="0" xfId="0" applyFont="1" applyFill="1" applyAlignment="1" applyProtection="1">
      <alignment/>
      <protection hidden="1"/>
    </xf>
    <xf numFmtId="0" fontId="18" fillId="41" borderId="0" xfId="0" applyFont="1" applyFill="1" applyAlignment="1" applyProtection="1">
      <alignment/>
      <protection hidden="1"/>
    </xf>
    <xf numFmtId="0" fontId="12" fillId="41" borderId="0" xfId="0" applyFont="1" applyFill="1" applyAlignment="1" applyProtection="1">
      <alignment/>
      <protection hidden="1"/>
    </xf>
    <xf numFmtId="177" fontId="5" fillId="37" borderId="0" xfId="0" applyNumberFormat="1" applyFont="1" applyFill="1" applyAlignment="1" applyProtection="1">
      <alignment/>
      <protection hidden="1"/>
    </xf>
    <xf numFmtId="0" fontId="3" fillId="0" borderId="0" xfId="0" applyFont="1" applyAlignment="1" applyProtection="1" quotePrefix="1">
      <alignment/>
      <protection hidden="1"/>
    </xf>
    <xf numFmtId="176" fontId="5" fillId="37" borderId="0" xfId="0" applyNumberFormat="1" applyFont="1" applyFill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0" fillId="0" borderId="0" xfId="0" applyNumberFormat="1" applyAlignment="1" applyProtection="1">
      <alignment/>
      <protection hidden="1"/>
    </xf>
    <xf numFmtId="0" fontId="0" fillId="0" borderId="0" xfId="0" applyNumberFormat="1" applyAlignment="1" applyProtection="1">
      <alignment/>
      <protection hidden="1"/>
    </xf>
    <xf numFmtId="0" fontId="0" fillId="0" borderId="0" xfId="0" applyNumberFormat="1" applyFill="1" applyAlignment="1" applyProtection="1">
      <alignment/>
      <protection hidden="1"/>
    </xf>
    <xf numFmtId="0" fontId="20" fillId="0" borderId="0" xfId="0" applyFont="1" applyFill="1" applyAlignment="1" applyProtection="1">
      <alignment/>
      <protection hidden="1"/>
    </xf>
    <xf numFmtId="180" fontId="6" fillId="0" borderId="0" xfId="0" applyNumberFormat="1" applyFont="1" applyFill="1" applyAlignment="1" applyProtection="1">
      <alignment/>
      <protection hidden="1"/>
    </xf>
    <xf numFmtId="180" fontId="21" fillId="0" borderId="0" xfId="0" applyNumberFormat="1" applyFont="1" applyFill="1" applyAlignment="1" applyProtection="1">
      <alignment/>
      <protection hidden="1"/>
    </xf>
    <xf numFmtId="180" fontId="6" fillId="0" borderId="0" xfId="0" applyNumberFormat="1" applyFont="1" applyAlignment="1" applyProtection="1">
      <alignment/>
      <protection hidden="1"/>
    </xf>
    <xf numFmtId="0" fontId="6" fillId="0" borderId="0" xfId="0" applyNumberFormat="1" applyFont="1" applyAlignment="1" applyProtection="1">
      <alignment/>
      <protection hidden="1"/>
    </xf>
    <xf numFmtId="0" fontId="8" fillId="0" borderId="0" xfId="0" applyFont="1" applyFill="1" applyAlignment="1" applyProtection="1">
      <alignment/>
      <protection hidden="1"/>
    </xf>
    <xf numFmtId="0" fontId="6" fillId="0" borderId="0" xfId="0" applyNumberFormat="1" applyFont="1" applyAlignment="1" applyProtection="1">
      <alignment/>
      <protection hidden="1"/>
    </xf>
    <xf numFmtId="176" fontId="5" fillId="41" borderId="0" xfId="0" applyNumberFormat="1" applyFont="1" applyFill="1" applyAlignment="1" applyProtection="1">
      <alignment/>
      <protection hidden="1"/>
    </xf>
    <xf numFmtId="179" fontId="4" fillId="0" borderId="0" xfId="0" applyNumberFormat="1" applyFont="1" applyFill="1" applyAlignment="1" applyProtection="1">
      <alignment/>
      <protection hidden="1"/>
    </xf>
    <xf numFmtId="178" fontId="3" fillId="0" borderId="0" xfId="0" applyNumberFormat="1" applyFont="1" applyAlignment="1" applyProtection="1">
      <alignment horizontal="center"/>
      <protection hidden="1"/>
    </xf>
    <xf numFmtId="0" fontId="56" fillId="0" borderId="0" xfId="0" applyFont="1" applyAlignment="1" applyProtection="1">
      <alignment/>
      <protection hidden="1"/>
    </xf>
    <xf numFmtId="0" fontId="12" fillId="40" borderId="0" xfId="0" applyFont="1" applyFill="1" applyAlignment="1" applyProtection="1">
      <alignment horizontal="center" vertical="center"/>
      <protection hidden="1"/>
    </xf>
    <xf numFmtId="0" fontId="18" fillId="41" borderId="0" xfId="0" applyFont="1" applyFill="1" applyAlignment="1" applyProtection="1">
      <alignment horizontal="center" vertical="center" wrapText="1"/>
      <protection hidden="1"/>
    </xf>
    <xf numFmtId="0" fontId="12" fillId="40" borderId="0" xfId="0" applyFont="1" applyFill="1" applyAlignment="1" applyProtection="1">
      <alignment vertical="center"/>
      <protection hidden="1"/>
    </xf>
    <xf numFmtId="176" fontId="5" fillId="37" borderId="0" xfId="0" applyNumberFormat="1" applyFont="1" applyFill="1" applyAlignment="1" applyProtection="1">
      <alignment horizontal="right"/>
      <protection hidden="1"/>
    </xf>
    <xf numFmtId="0" fontId="4" fillId="0" borderId="0" xfId="0" applyFont="1" applyFill="1" applyAlignment="1" applyProtection="1">
      <alignment/>
      <protection hidden="1"/>
    </xf>
    <xf numFmtId="177" fontId="5" fillId="0" borderId="0" xfId="0" applyNumberFormat="1" applyFont="1" applyFill="1" applyAlignment="1" applyProtection="1">
      <alignment/>
      <protection hidden="1"/>
    </xf>
    <xf numFmtId="178" fontId="5" fillId="0" borderId="0" xfId="0" applyNumberFormat="1" applyFont="1" applyFill="1" applyAlignment="1" applyProtection="1">
      <alignment/>
      <protection hidden="1"/>
    </xf>
    <xf numFmtId="0" fontId="3" fillId="0" borderId="0" xfId="0" applyFont="1" applyFill="1" applyAlignment="1" applyProtection="1" quotePrefix="1">
      <alignment/>
      <protection hidden="1"/>
    </xf>
    <xf numFmtId="0" fontId="3" fillId="0" borderId="0" xfId="0" applyFont="1" applyFill="1" applyAlignment="1" applyProtection="1">
      <alignment/>
      <protection hidden="1"/>
    </xf>
    <xf numFmtId="0" fontId="14" fillId="0" borderId="0" xfId="0" applyFont="1" applyAlignment="1" applyProtection="1">
      <alignment/>
      <protection locked="0"/>
    </xf>
    <xf numFmtId="177" fontId="58" fillId="0" borderId="0" xfId="0" applyNumberFormat="1" applyFont="1" applyFill="1" applyAlignment="1" applyProtection="1">
      <alignment/>
      <protection hidden="1"/>
    </xf>
    <xf numFmtId="0" fontId="14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60" fillId="0" borderId="0" xfId="0" applyFont="1" applyAlignment="1" applyProtection="1">
      <alignment/>
      <protection hidden="1"/>
    </xf>
    <xf numFmtId="0" fontId="61" fillId="0" borderId="0" xfId="0" applyFont="1" applyAlignment="1" applyProtection="1">
      <alignment/>
      <protection hidden="1"/>
    </xf>
    <xf numFmtId="0" fontId="62" fillId="0" borderId="0" xfId="0" applyFont="1" applyAlignment="1" applyProtection="1">
      <alignment/>
      <protection hidden="1"/>
    </xf>
    <xf numFmtId="176" fontId="4" fillId="37" borderId="0" xfId="0" applyNumberFormat="1" applyFont="1" applyFill="1" applyAlignment="1" applyProtection="1">
      <alignment/>
      <protection locked="0"/>
    </xf>
    <xf numFmtId="187" fontId="0" fillId="0" borderId="0" xfId="0" applyNumberFormat="1" applyAlignment="1" applyProtection="1">
      <alignment/>
      <protection locked="0"/>
    </xf>
    <xf numFmtId="0" fontId="12" fillId="39" borderId="0" xfId="0" applyFont="1" applyFill="1" applyAlignment="1" applyProtection="1">
      <alignment/>
      <protection hidden="1"/>
    </xf>
    <xf numFmtId="0" fontId="16" fillId="39" borderId="0" xfId="0" applyFont="1" applyFill="1" applyAlignment="1" applyProtection="1">
      <alignment horizontal="right"/>
      <protection hidden="1"/>
    </xf>
    <xf numFmtId="0" fontId="8" fillId="0" borderId="0" xfId="0" applyFont="1" applyAlignment="1" applyProtection="1">
      <alignment horizontal="right"/>
      <protection locked="0"/>
    </xf>
    <xf numFmtId="0" fontId="18" fillId="42" borderId="0" xfId="0" applyFont="1" applyFill="1" applyAlignment="1" applyProtection="1">
      <alignment/>
      <protection hidden="1"/>
    </xf>
    <xf numFmtId="0" fontId="12" fillId="42" borderId="0" xfId="0" applyFont="1" applyFill="1" applyAlignment="1" applyProtection="1">
      <alignment/>
      <protection hidden="1"/>
    </xf>
    <xf numFmtId="178" fontId="5" fillId="37" borderId="0" xfId="0" applyNumberFormat="1" applyFont="1" applyFill="1" applyAlignment="1" applyProtection="1">
      <alignment/>
      <protection locked="0"/>
    </xf>
    <xf numFmtId="0" fontId="56" fillId="0" borderId="0" xfId="0" applyFont="1" applyAlignment="1" applyProtection="1">
      <alignment/>
      <protection locked="0"/>
    </xf>
    <xf numFmtId="0" fontId="4" fillId="0" borderId="0" xfId="0" applyFont="1" applyFill="1" applyAlignment="1" applyProtection="1">
      <alignment horizontal="right"/>
      <protection hidden="1"/>
    </xf>
    <xf numFmtId="176" fontId="4" fillId="0" borderId="0" xfId="0" applyNumberFormat="1" applyFont="1" applyAlignment="1" applyProtection="1">
      <alignment/>
      <protection hidden="1"/>
    </xf>
    <xf numFmtId="0" fontId="4" fillId="0" borderId="0" xfId="0" applyFont="1" applyAlignment="1" applyProtection="1">
      <alignment horizontal="left"/>
      <protection hidden="1"/>
    </xf>
    <xf numFmtId="177" fontId="0" fillId="0" borderId="0" xfId="0" applyNumberFormat="1" applyAlignment="1" applyProtection="1">
      <alignment/>
      <protection hidden="1"/>
    </xf>
    <xf numFmtId="0" fontId="20" fillId="0" borderId="0" xfId="0" applyFont="1" applyAlignment="1" applyProtection="1">
      <alignment/>
      <protection hidden="1"/>
    </xf>
    <xf numFmtId="176" fontId="0" fillId="0" borderId="0" xfId="0" applyNumberFormat="1" applyAlignment="1" applyProtection="1">
      <alignment/>
      <protection hidden="1"/>
    </xf>
    <xf numFmtId="176" fontId="0" fillId="0" borderId="0" xfId="0" applyNumberFormat="1" applyFont="1" applyAlignment="1" applyProtection="1">
      <alignment/>
      <protection hidden="1"/>
    </xf>
    <xf numFmtId="185" fontId="5" fillId="37" borderId="0" xfId="0" applyNumberFormat="1" applyFont="1" applyFill="1" applyAlignment="1" applyProtection="1">
      <alignment horizontal="right"/>
      <protection hidden="1"/>
    </xf>
    <xf numFmtId="185" fontId="5" fillId="37" borderId="0" xfId="0" applyNumberFormat="1" applyFont="1" applyFill="1" applyAlignment="1" applyProtection="1">
      <alignment/>
      <protection hidden="1"/>
    </xf>
    <xf numFmtId="0" fontId="0" fillId="0" borderId="0" xfId="0" applyFont="1" applyFill="1" applyAlignment="1" applyProtection="1">
      <alignment/>
      <protection hidden="1"/>
    </xf>
    <xf numFmtId="0" fontId="3" fillId="0" borderId="0" xfId="0" applyFont="1" applyAlignment="1" applyProtection="1" quotePrefix="1">
      <alignment/>
      <protection locked="0"/>
    </xf>
    <xf numFmtId="0" fontId="8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right"/>
      <protection/>
    </xf>
    <xf numFmtId="177" fontId="8" fillId="43" borderId="0" xfId="0" applyNumberFormat="1" applyFont="1" applyFill="1" applyAlignment="1" applyProtection="1">
      <alignment/>
      <protection locked="0"/>
    </xf>
    <xf numFmtId="176" fontId="8" fillId="43" borderId="0" xfId="0" applyNumberFormat="1" applyFont="1" applyFill="1" applyAlignment="1" applyProtection="1">
      <alignment/>
      <protection locked="0"/>
    </xf>
    <xf numFmtId="38" fontId="5" fillId="37" borderId="0" xfId="0" applyNumberFormat="1" applyFont="1" applyFill="1" applyAlignment="1" applyProtection="1">
      <alignment horizontal="right"/>
      <protection hidden="1"/>
    </xf>
    <xf numFmtId="178" fontId="3" fillId="0" borderId="0" xfId="0" applyNumberFormat="1" applyFont="1" applyAlignment="1" applyProtection="1">
      <alignment horizontal="right"/>
      <protection hidden="1"/>
    </xf>
    <xf numFmtId="179" fontId="5" fillId="37" borderId="0" xfId="0" applyNumberFormat="1" applyFont="1" applyFill="1" applyAlignment="1" applyProtection="1">
      <alignment horizontal="right"/>
      <protection hidden="1"/>
    </xf>
    <xf numFmtId="0" fontId="36" fillId="30" borderId="17" xfId="0" applyFont="1" applyFill="1" applyBorder="1" applyAlignment="1">
      <alignment horizontal="center" vertical="center"/>
    </xf>
    <xf numFmtId="0" fontId="36" fillId="30" borderId="20" xfId="0" applyFont="1" applyFill="1" applyBorder="1" applyAlignment="1">
      <alignment horizontal="center" vertical="center"/>
    </xf>
    <xf numFmtId="0" fontId="36" fillId="30" borderId="22" xfId="0" applyFont="1" applyFill="1" applyBorder="1" applyAlignment="1">
      <alignment horizontal="center" vertical="center"/>
    </xf>
    <xf numFmtId="0" fontId="34" fillId="30" borderId="20" xfId="0" applyFont="1" applyFill="1" applyBorder="1" applyAlignment="1">
      <alignment horizontal="center" vertical="center"/>
    </xf>
    <xf numFmtId="0" fontId="23" fillId="30" borderId="17" xfId="0" applyFont="1" applyFill="1" applyBorder="1" applyAlignment="1">
      <alignment horizontal="center" vertical="center" wrapText="1"/>
    </xf>
    <xf numFmtId="0" fontId="23" fillId="30" borderId="20" xfId="0" applyFont="1" applyFill="1" applyBorder="1" applyAlignment="1">
      <alignment horizontal="center" vertical="center" wrapText="1"/>
    </xf>
    <xf numFmtId="0" fontId="23" fillId="30" borderId="22" xfId="0" applyFont="1" applyFill="1" applyBorder="1" applyAlignment="1">
      <alignment horizontal="center" vertical="center" wrapText="1"/>
    </xf>
    <xf numFmtId="0" fontId="23" fillId="30" borderId="14" xfId="0" applyFont="1" applyFill="1" applyBorder="1" applyAlignment="1">
      <alignment horizontal="center" vertical="center"/>
    </xf>
    <xf numFmtId="0" fontId="34" fillId="30" borderId="17" xfId="0" applyFont="1" applyFill="1" applyBorder="1" applyAlignment="1">
      <alignment horizontal="center" vertical="center"/>
    </xf>
    <xf numFmtId="0" fontId="34" fillId="30" borderId="22" xfId="0" applyFont="1" applyFill="1" applyBorder="1" applyAlignment="1">
      <alignment horizontal="center" vertical="center"/>
    </xf>
    <xf numFmtId="0" fontId="44" fillId="30" borderId="16" xfId="0" applyFont="1" applyFill="1" applyBorder="1" applyAlignment="1">
      <alignment horizontal="center" vertical="center"/>
    </xf>
    <xf numFmtId="0" fontId="44" fillId="30" borderId="14" xfId="0" applyFont="1" applyFill="1" applyBorder="1" applyAlignment="1">
      <alignment horizontal="center" vertical="center"/>
    </xf>
    <xf numFmtId="0" fontId="44" fillId="30" borderId="17" xfId="0" applyFont="1" applyFill="1" applyBorder="1" applyAlignment="1">
      <alignment horizontal="center" vertical="center"/>
    </xf>
    <xf numFmtId="0" fontId="44" fillId="30" borderId="22" xfId="0" applyFont="1" applyFill="1" applyBorder="1" applyAlignment="1">
      <alignment horizontal="center" vertical="center"/>
    </xf>
    <xf numFmtId="0" fontId="44" fillId="30" borderId="14" xfId="0" applyFont="1" applyFill="1" applyBorder="1" applyAlignment="1">
      <alignment horizontal="center" vertical="center" wrapText="1"/>
    </xf>
    <xf numFmtId="0" fontId="44" fillId="30" borderId="17" xfId="0" applyFont="1" applyFill="1" applyBorder="1" applyAlignment="1">
      <alignment horizontal="center" vertical="center" wrapText="1"/>
    </xf>
    <xf numFmtId="0" fontId="44" fillId="30" borderId="22" xfId="0" applyFont="1" applyFill="1" applyBorder="1" applyAlignment="1">
      <alignment horizontal="center" vertical="center" wrapText="1"/>
    </xf>
    <xf numFmtId="0" fontId="23" fillId="30" borderId="20" xfId="0" applyFont="1" applyFill="1" applyBorder="1" applyAlignment="1">
      <alignment horizontal="left" vertical="center"/>
    </xf>
    <xf numFmtId="0" fontId="23" fillId="30" borderId="17" xfId="0" applyFont="1" applyFill="1" applyBorder="1" applyAlignment="1">
      <alignment horizontal="left" vertical="center" wrapText="1"/>
    </xf>
    <xf numFmtId="0" fontId="23" fillId="30" borderId="20" xfId="0" applyFont="1" applyFill="1" applyBorder="1" applyAlignment="1">
      <alignment horizontal="left" vertical="center" wrapText="1"/>
    </xf>
    <xf numFmtId="0" fontId="23" fillId="30" borderId="22" xfId="0" applyFont="1" applyFill="1" applyBorder="1" applyAlignment="1">
      <alignment horizontal="left" vertical="center"/>
    </xf>
    <xf numFmtId="0" fontId="34" fillId="30" borderId="17" xfId="0" applyFont="1" applyFill="1" applyBorder="1" applyAlignment="1">
      <alignment horizontal="left" vertical="center"/>
    </xf>
    <xf numFmtId="0" fontId="34" fillId="30" borderId="22" xfId="0" applyFont="1" applyFill="1" applyBorder="1" applyAlignment="1">
      <alignment horizontal="left" vertical="center"/>
    </xf>
    <xf numFmtId="0" fontId="23" fillId="30" borderId="14" xfId="0" applyFont="1" applyFill="1" applyBorder="1" applyAlignment="1">
      <alignment horizontal="center" vertical="center" wrapText="1"/>
    </xf>
    <xf numFmtId="0" fontId="34" fillId="30" borderId="19" xfId="0" applyFont="1" applyFill="1" applyBorder="1" applyAlignment="1">
      <alignment horizontal="center" vertical="center"/>
    </xf>
    <xf numFmtId="0" fontId="34" fillId="30" borderId="23" xfId="0" applyFont="1" applyFill="1" applyBorder="1" applyAlignment="1">
      <alignment horizontal="center" vertical="center"/>
    </xf>
    <xf numFmtId="0" fontId="23" fillId="30" borderId="17" xfId="0" applyFont="1" applyFill="1" applyBorder="1" applyAlignment="1">
      <alignment horizontal="center" vertical="center"/>
    </xf>
    <xf numFmtId="0" fontId="23" fillId="30" borderId="20" xfId="0" applyFont="1" applyFill="1" applyBorder="1" applyAlignment="1">
      <alignment horizontal="center" vertical="center"/>
    </xf>
    <xf numFmtId="0" fontId="23" fillId="30" borderId="22" xfId="0" applyFont="1" applyFill="1" applyBorder="1" applyAlignment="1">
      <alignment horizontal="center" vertical="center"/>
    </xf>
    <xf numFmtId="0" fontId="44" fillId="30" borderId="20" xfId="0" applyFont="1" applyFill="1" applyBorder="1" applyAlignment="1">
      <alignment horizontal="center" vertical="center"/>
    </xf>
    <xf numFmtId="0" fontId="23" fillId="30" borderId="19" xfId="0" applyFont="1" applyFill="1" applyBorder="1" applyAlignment="1">
      <alignment horizontal="center" vertical="center"/>
    </xf>
    <xf numFmtId="0" fontId="23" fillId="30" borderId="23" xfId="0" applyFont="1" applyFill="1" applyBorder="1" applyAlignment="1">
      <alignment horizontal="center" vertical="center"/>
    </xf>
    <xf numFmtId="0" fontId="33" fillId="30" borderId="24" xfId="0" applyFont="1" applyFill="1" applyBorder="1" applyAlignment="1">
      <alignment horizontal="left" vertical="center"/>
    </xf>
    <xf numFmtId="0" fontId="23" fillId="30" borderId="21" xfId="0" applyFont="1" applyFill="1" applyBorder="1" applyAlignment="1">
      <alignment horizontal="center" vertical="center"/>
    </xf>
    <xf numFmtId="0" fontId="33" fillId="30" borderId="16" xfId="0" applyFont="1" applyFill="1" applyBorder="1" applyAlignment="1">
      <alignment horizontal="left" vertical="center"/>
    </xf>
    <xf numFmtId="0" fontId="33" fillId="30" borderId="14" xfId="0" applyFont="1" applyFill="1" applyBorder="1" applyAlignment="1">
      <alignment horizontal="left" vertical="center"/>
    </xf>
    <xf numFmtId="0" fontId="33" fillId="30" borderId="27" xfId="0" applyFont="1" applyFill="1" applyBorder="1" applyAlignment="1">
      <alignment horizontal="left" vertical="center"/>
    </xf>
    <xf numFmtId="0" fontId="33" fillId="30" borderId="15" xfId="0" applyFont="1" applyFill="1" applyBorder="1" applyAlignment="1">
      <alignment horizontal="left" vertical="center"/>
    </xf>
    <xf numFmtId="0" fontId="23" fillId="30" borderId="0" xfId="0" applyFont="1" applyFill="1" applyAlignment="1">
      <alignment horizontal="center" vertical="center" wrapText="1"/>
    </xf>
    <xf numFmtId="0" fontId="23" fillId="30" borderId="0" xfId="0" applyFont="1" applyFill="1" applyAlignment="1">
      <alignment horizontal="center" vertical="center"/>
    </xf>
    <xf numFmtId="0" fontId="23" fillId="36" borderId="19" xfId="0" applyFont="1" applyFill="1" applyBorder="1" applyAlignment="1">
      <alignment horizontal="center" vertical="center"/>
    </xf>
    <xf numFmtId="0" fontId="23" fillId="36" borderId="21" xfId="0" applyFont="1" applyFill="1" applyBorder="1" applyAlignment="1">
      <alignment horizontal="center" vertical="center"/>
    </xf>
    <xf numFmtId="0" fontId="23" fillId="36" borderId="23" xfId="0" applyFont="1" applyFill="1" applyBorder="1" applyAlignment="1">
      <alignment horizontal="center" vertical="center"/>
    </xf>
    <xf numFmtId="0" fontId="23" fillId="36" borderId="19" xfId="0" applyFont="1" applyFill="1" applyBorder="1" applyAlignment="1">
      <alignment horizontal="center" vertical="center" wrapText="1"/>
    </xf>
    <xf numFmtId="0" fontId="23" fillId="36" borderId="21" xfId="0" applyFont="1" applyFill="1" applyBorder="1" applyAlignment="1">
      <alignment horizontal="center" vertical="center" wrapText="1"/>
    </xf>
    <xf numFmtId="0" fontId="23" fillId="36" borderId="23" xfId="0" applyFont="1" applyFill="1" applyBorder="1" applyAlignment="1">
      <alignment horizontal="center" vertical="center" wrapText="1"/>
    </xf>
    <xf numFmtId="0" fontId="44" fillId="30" borderId="19" xfId="0" applyFont="1" applyFill="1" applyBorder="1" applyAlignment="1">
      <alignment horizontal="center" vertical="center"/>
    </xf>
    <xf numFmtId="0" fontId="44" fillId="30" borderId="23" xfId="0" applyFont="1" applyFill="1" applyBorder="1" applyAlignment="1">
      <alignment horizontal="center" vertical="center"/>
    </xf>
    <xf numFmtId="0" fontId="44" fillId="30" borderId="20" xfId="0" applyFont="1" applyFill="1" applyBorder="1" applyAlignment="1">
      <alignment horizontal="center" vertical="center" wrapText="1"/>
    </xf>
    <xf numFmtId="0" fontId="23" fillId="36" borderId="17" xfId="0" applyFont="1" applyFill="1" applyBorder="1" applyAlignment="1">
      <alignment horizontal="center" vertical="center"/>
    </xf>
    <xf numFmtId="0" fontId="23" fillId="36" borderId="20" xfId="0" applyFont="1" applyFill="1" applyBorder="1" applyAlignment="1">
      <alignment horizontal="center" vertical="center"/>
    </xf>
    <xf numFmtId="0" fontId="23" fillId="36" borderId="22" xfId="0" applyFont="1" applyFill="1" applyBorder="1" applyAlignment="1">
      <alignment horizontal="center" vertical="center"/>
    </xf>
    <xf numFmtId="0" fontId="23" fillId="36" borderId="25" xfId="0" applyFont="1" applyFill="1" applyBorder="1" applyAlignment="1">
      <alignment horizontal="center" vertical="center"/>
    </xf>
    <xf numFmtId="0" fontId="23" fillId="36" borderId="18" xfId="0" applyFont="1" applyFill="1" applyBorder="1" applyAlignment="1">
      <alignment horizontal="center" vertical="center"/>
    </xf>
    <xf numFmtId="0" fontId="23" fillId="36" borderId="17" xfId="0" applyFont="1" applyFill="1" applyBorder="1" applyAlignment="1">
      <alignment horizontal="center" vertical="center" wrapText="1"/>
    </xf>
    <xf numFmtId="0" fontId="23" fillId="36" borderId="22" xfId="0" applyFont="1" applyFill="1" applyBorder="1" applyAlignment="1">
      <alignment horizontal="center" vertical="center" wrapText="1"/>
    </xf>
    <xf numFmtId="0" fontId="36" fillId="30" borderId="20" xfId="0" applyFont="1" applyFill="1" applyBorder="1" applyAlignment="1">
      <alignment horizontal="left" vertical="center"/>
    </xf>
    <xf numFmtId="0" fontId="36" fillId="30" borderId="22" xfId="0" applyFont="1" applyFill="1" applyBorder="1" applyAlignment="1">
      <alignment horizontal="left" vertical="center"/>
    </xf>
    <xf numFmtId="0" fontId="23" fillId="36" borderId="25" xfId="0" applyFont="1" applyFill="1" applyBorder="1" applyAlignment="1">
      <alignment horizontal="center" vertical="center" wrapText="1"/>
    </xf>
    <xf numFmtId="0" fontId="23" fillId="36" borderId="26" xfId="0" applyFont="1" applyFill="1" applyBorder="1" applyAlignment="1">
      <alignment horizontal="center" vertical="center" wrapText="1"/>
    </xf>
    <xf numFmtId="0" fontId="31" fillId="36" borderId="17" xfId="0" applyFont="1" applyFill="1" applyBorder="1" applyAlignment="1">
      <alignment horizontal="center" vertical="center" wrapText="1"/>
    </xf>
    <xf numFmtId="0" fontId="31" fillId="36" borderId="20" xfId="0" applyFont="1" applyFill="1" applyBorder="1" applyAlignment="1">
      <alignment horizontal="center" vertical="center" wrapText="1"/>
    </xf>
    <xf numFmtId="0" fontId="31" fillId="36" borderId="22" xfId="0" applyFont="1" applyFill="1" applyBorder="1" applyAlignment="1">
      <alignment horizontal="center" vertical="center" wrapText="1"/>
    </xf>
    <xf numFmtId="0" fontId="23" fillId="36" borderId="28" xfId="0" applyFont="1" applyFill="1" applyBorder="1" applyAlignment="1">
      <alignment horizontal="center" vertical="center" wrapText="1"/>
    </xf>
    <xf numFmtId="0" fontId="23" fillId="36" borderId="4" xfId="0" applyFont="1" applyFill="1" applyBorder="1" applyAlignment="1">
      <alignment horizontal="center" vertical="center" wrapText="1"/>
    </xf>
    <xf numFmtId="0" fontId="23" fillId="36" borderId="29" xfId="0" applyFont="1" applyFill="1" applyBorder="1" applyAlignment="1">
      <alignment horizontal="center" vertical="center" wrapText="1"/>
    </xf>
    <xf numFmtId="0" fontId="36" fillId="30" borderId="17" xfId="0" applyFont="1" applyFill="1" applyBorder="1" applyAlignment="1">
      <alignment horizontal="left" vertical="center"/>
    </xf>
    <xf numFmtId="0" fontId="34" fillId="30" borderId="17" xfId="0" applyFont="1" applyFill="1" applyBorder="1" applyAlignment="1">
      <alignment horizontal="center" vertical="center" wrapText="1"/>
    </xf>
    <xf numFmtId="0" fontId="34" fillId="30" borderId="22" xfId="0" applyFont="1" applyFill="1" applyBorder="1" applyAlignment="1">
      <alignment horizontal="center" vertical="center" wrapText="1"/>
    </xf>
    <xf numFmtId="0" fontId="34" fillId="30" borderId="20" xfId="0" applyFont="1" applyFill="1" applyBorder="1" applyAlignment="1">
      <alignment horizontal="left" vertical="center"/>
    </xf>
  </cellXfs>
  <cellStyles count="66">
    <cellStyle name="Normal" xfId="0"/>
    <cellStyle name="??&amp;O?&amp;H?_x0008__x000F__x0007_?_x0007__x0001__x0001_" xfId="15"/>
    <cellStyle name="??&amp;O?&amp;H?_x0008_??_x0007__x0001__x0001_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40% - Accent1" xfId="23"/>
    <cellStyle name="40% - Accent2" xfId="24"/>
    <cellStyle name="40% - Accent3" xfId="25"/>
    <cellStyle name="40% - Accent4" xfId="26"/>
    <cellStyle name="40% - Accent5" xfId="27"/>
    <cellStyle name="40% - Accent6" xfId="28"/>
    <cellStyle name="60% - Accent1" xfId="29"/>
    <cellStyle name="60% - Accent2" xfId="30"/>
    <cellStyle name="60% - Accent3" xfId="31"/>
    <cellStyle name="60% - Accent4" xfId="32"/>
    <cellStyle name="60% - Accent5" xfId="33"/>
    <cellStyle name="60% - Accent6" xfId="34"/>
    <cellStyle name="Accent1" xfId="35"/>
    <cellStyle name="Accent2" xfId="36"/>
    <cellStyle name="Accent3" xfId="37"/>
    <cellStyle name="Accent4" xfId="38"/>
    <cellStyle name="Accent5" xfId="39"/>
    <cellStyle name="Accent6" xfId="40"/>
    <cellStyle name="Bad" xfId="41"/>
    <cellStyle name="Calculation" xfId="42"/>
    <cellStyle name="category" xfId="43"/>
    <cellStyle name="Check Cell" xfId="44"/>
    <cellStyle name="Comma" xfId="45"/>
    <cellStyle name="Comma [0]" xfId="46"/>
    <cellStyle name="Currency" xfId="47"/>
    <cellStyle name="Currency [0]" xfId="48"/>
    <cellStyle name="Explanatory Text" xfId="49"/>
    <cellStyle name="Followed Hyperlink" xfId="50"/>
    <cellStyle name="Good" xfId="51"/>
    <cellStyle name="Grey" xfId="52"/>
    <cellStyle name="HEADER" xfId="53"/>
    <cellStyle name="Header1" xfId="54"/>
    <cellStyle name="Header2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Input [yellow]" xfId="62"/>
    <cellStyle name="Linked Cell" xfId="63"/>
    <cellStyle name="Model" xfId="64"/>
    <cellStyle name="Neutral" xfId="65"/>
    <cellStyle name="Normal - Style1" xfId="66"/>
    <cellStyle name="Note" xfId="67"/>
    <cellStyle name="Output" xfId="68"/>
    <cellStyle name="Percent" xfId="69"/>
    <cellStyle name="Percent [2]" xfId="70"/>
    <cellStyle name="PSChar" xfId="71"/>
    <cellStyle name="PSSpacer" xfId="72"/>
    <cellStyle name="subhead" xfId="73"/>
    <cellStyle name="Title" xfId="74"/>
    <cellStyle name="Total" xfId="75"/>
    <cellStyle name="Warning Text" xfId="76"/>
    <cellStyle name="콤마 [0]_10월2주 " xfId="77"/>
    <cellStyle name="콤마_10월2주 " xfId="78"/>
    <cellStyle name="常规_Sheet1" xfId="79"/>
  </cellStyles>
  <dxfs count="2"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85"/>
          <c:y val="0.03275"/>
          <c:w val="0.93025"/>
          <c:h val="0.8725"/>
        </c:manualLayout>
      </c:layout>
      <c:scatterChart>
        <c:scatterStyle val="smoothMarker"/>
        <c:varyColors val="0"/>
        <c:ser>
          <c:idx val="0"/>
          <c:order val="0"/>
          <c:tx>
            <c:v>control-to-output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Flyback!$B$148:$B$167</c:f>
              <c:numCache/>
            </c:numRef>
          </c:xVal>
          <c:yVal>
            <c:numRef>
              <c:f>Flyback!$C$148:$C$167</c:f>
              <c:numCache/>
            </c:numRef>
          </c:yVal>
          <c:smooth val="1"/>
        </c:ser>
        <c:ser>
          <c:idx val="1"/>
          <c:order val="1"/>
          <c:tx>
            <c:v>Compensator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FF00FF"/>
                </a:solidFill>
              </a:ln>
            </c:spPr>
          </c:marker>
          <c:xVal>
            <c:numRef>
              <c:f>Flyback!$B$148:$B$167</c:f>
              <c:numCache/>
            </c:numRef>
          </c:xVal>
          <c:yVal>
            <c:numRef>
              <c:f>Flyback!$D$148:$D$167</c:f>
              <c:numCache/>
            </c:numRef>
          </c:yVal>
          <c:smooth val="1"/>
        </c:ser>
        <c:ser>
          <c:idx val="2"/>
          <c:order val="2"/>
          <c:tx>
            <c:v>Closed loop gain (T)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Flyback!$B$148:$B$167</c:f>
              <c:numCache/>
            </c:numRef>
          </c:xVal>
          <c:yVal>
            <c:numRef>
              <c:f>Flyback!$E$148:$E$167</c:f>
              <c:numCache/>
            </c:numRef>
          </c:yVal>
          <c:smooth val="1"/>
        </c:ser>
        <c:axId val="20916843"/>
        <c:axId val="54033860"/>
      </c:scatterChart>
      <c:valAx>
        <c:axId val="20916843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돋움"/>
                    <a:ea typeface="돋움"/>
                    <a:cs typeface="돋움"/>
                  </a:rPr>
                  <a:t>frequency (Hz)</a:t>
                </a:r>
              </a:p>
            </c:rich>
          </c:tx>
          <c:layout>
            <c:manualLayout>
              <c:xMode val="factor"/>
              <c:yMode val="factor"/>
              <c:x val="0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4033860"/>
        <c:crosses val="autoZero"/>
        <c:crossBetween val="midCat"/>
        <c:dispUnits/>
        <c:minorUnit val="10"/>
      </c:valAx>
      <c:valAx>
        <c:axId val="540338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돋움"/>
                    <a:ea typeface="돋움"/>
                    <a:cs typeface="돋움"/>
                  </a:rPr>
                  <a:t>Gain (dB)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0916843"/>
        <c:crossesAt val="1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0175"/>
          <c:y val="0.549"/>
          <c:w val="0.267"/>
          <c:h val="0.23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  <a:latin typeface="돋움"/>
              <a:ea typeface="돋움"/>
              <a:cs typeface="돋움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돋움"/>
          <a:ea typeface="돋움"/>
          <a:cs typeface="돋움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5"/>
          <c:y val="0.03225"/>
          <c:w val="0.94625"/>
          <c:h val="0.8735"/>
        </c:manualLayout>
      </c:layout>
      <c:scatterChart>
        <c:scatterStyle val="smoothMarker"/>
        <c:varyColors val="0"/>
        <c:ser>
          <c:idx val="0"/>
          <c:order val="0"/>
          <c:tx>
            <c:v>Control-to-output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Flyback!$G$148:$G$167</c:f>
              <c:numCache/>
            </c:numRef>
          </c:xVal>
          <c:yVal>
            <c:numRef>
              <c:f>Flyback!$H$148:$H$167</c:f>
              <c:numCache/>
            </c:numRef>
          </c:yVal>
          <c:smooth val="1"/>
        </c:ser>
        <c:ser>
          <c:idx val="1"/>
          <c:order val="1"/>
          <c:tx>
            <c:v>Compensator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FF00FF"/>
                </a:solidFill>
              </a:ln>
            </c:spPr>
          </c:marker>
          <c:xVal>
            <c:numRef>
              <c:f>Flyback!$G$148:$G$167</c:f>
              <c:numCache/>
            </c:numRef>
          </c:xVal>
          <c:yVal>
            <c:numRef>
              <c:f>Flyback!$I$148:$I$167</c:f>
              <c:numCache/>
            </c:numRef>
          </c:yVal>
          <c:smooth val="1"/>
        </c:ser>
        <c:ser>
          <c:idx val="2"/>
          <c:order val="2"/>
          <c:tx>
            <c:v>Closed loop gain (T)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Flyback!$G$148:$G$167</c:f>
              <c:numCache/>
            </c:numRef>
          </c:xVal>
          <c:yVal>
            <c:numRef>
              <c:f>Flyback!$J$148:$J$167</c:f>
              <c:numCache/>
            </c:numRef>
          </c:yVal>
          <c:smooth val="1"/>
        </c:ser>
        <c:axId val="16542693"/>
        <c:axId val="14666510"/>
      </c:scatterChart>
      <c:valAx>
        <c:axId val="16542693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돋움"/>
                    <a:ea typeface="돋움"/>
                    <a:cs typeface="돋움"/>
                  </a:rPr>
                  <a:t>frequency (Hz)</a:t>
                </a:r>
              </a:p>
            </c:rich>
          </c:tx>
          <c:layout>
            <c:manualLayout>
              <c:xMode val="factor"/>
              <c:yMode val="factor"/>
              <c:x val="0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4666510"/>
        <c:crosses val="autoZero"/>
        <c:crossBetween val="midCat"/>
        <c:dispUnits/>
      </c:valAx>
      <c:valAx>
        <c:axId val="146665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돋움"/>
                    <a:ea typeface="돋움"/>
                    <a:cs typeface="돋움"/>
                  </a:rPr>
                  <a:t>Phase (degree)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6542693"/>
        <c:crosses val="autoZero"/>
        <c:crossBetween val="midCat"/>
        <c:dispUnits/>
        <c:majorUnit val="30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35"/>
          <c:y val="0.578"/>
          <c:w val="0.2605"/>
          <c:h val="0.23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  <a:latin typeface="돋움"/>
              <a:ea typeface="돋움"/>
              <a:cs typeface="돋움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돋움"/>
          <a:ea typeface="돋움"/>
          <a:cs typeface="돋움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146</xdr:row>
      <xdr:rowOff>19050</xdr:rowOff>
    </xdr:from>
    <xdr:to>
      <xdr:col>8</xdr:col>
      <xdr:colOff>152400</xdr:colOff>
      <xdr:row>163</xdr:row>
      <xdr:rowOff>104775</xdr:rowOff>
    </xdr:to>
    <xdr:graphicFrame>
      <xdr:nvGraphicFramePr>
        <xdr:cNvPr id="1" name="Chart 89"/>
        <xdr:cNvGraphicFramePr/>
      </xdr:nvGraphicFramePr>
      <xdr:xfrm>
        <a:off x="180975" y="27517725"/>
        <a:ext cx="5791200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38100</xdr:colOff>
      <xdr:row>163</xdr:row>
      <xdr:rowOff>114300</xdr:rowOff>
    </xdr:from>
    <xdr:to>
      <xdr:col>8</xdr:col>
      <xdr:colOff>161925</xdr:colOff>
      <xdr:row>181</xdr:row>
      <xdr:rowOff>47625</xdr:rowOff>
    </xdr:to>
    <xdr:graphicFrame>
      <xdr:nvGraphicFramePr>
        <xdr:cNvPr id="2" name="Chart 90"/>
        <xdr:cNvGraphicFramePr/>
      </xdr:nvGraphicFramePr>
      <xdr:xfrm>
        <a:off x="190500" y="30527625"/>
        <a:ext cx="5791200" cy="3019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oleObject" Target="../embeddings/oleObject_0_1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0"/>
  <sheetViews>
    <sheetView tabSelected="1" zoomScalePageLayoutView="0" workbookViewId="0" topLeftCell="A1">
      <selection activeCell="M141" sqref="M141"/>
    </sheetView>
  </sheetViews>
  <sheetFormatPr defaultColWidth="8.88671875" defaultRowHeight="13.5"/>
  <cols>
    <col min="1" max="1" width="1.77734375" style="169" customWidth="1"/>
    <col min="2" max="2" width="37.4453125" style="169" customWidth="1"/>
    <col min="3" max="3" width="8.21484375" style="169" customWidth="1"/>
    <col min="4" max="4" width="3.4453125" style="169" customWidth="1"/>
    <col min="5" max="5" width="5.4453125" style="169" customWidth="1"/>
    <col min="6" max="6" width="3.21484375" style="169" customWidth="1"/>
    <col min="7" max="7" width="6.21484375" style="169" customWidth="1"/>
    <col min="8" max="8" width="2.10546875" style="169" customWidth="1"/>
    <col min="9" max="9" width="5.3359375" style="169" customWidth="1"/>
    <col min="10" max="10" width="2.4453125" style="169" customWidth="1"/>
    <col min="11" max="11" width="6.77734375" style="169" customWidth="1"/>
    <col min="12" max="12" width="1.88671875" style="169" customWidth="1"/>
    <col min="13" max="13" width="12.88671875" style="169" bestFit="1" customWidth="1"/>
    <col min="14" max="16384" width="8.88671875" style="169" customWidth="1"/>
  </cols>
  <sheetData>
    <row r="1" spans="1:12" ht="15.75">
      <c r="A1" s="186"/>
      <c r="B1" s="186"/>
      <c r="C1" s="257" t="s">
        <v>284</v>
      </c>
      <c r="D1" s="254"/>
      <c r="E1" s="254"/>
      <c r="F1" s="254"/>
      <c r="G1" s="254"/>
      <c r="H1" s="254"/>
      <c r="I1" s="254"/>
      <c r="J1" s="187"/>
      <c r="K1" s="186"/>
      <c r="L1" s="186"/>
    </row>
    <row r="2" spans="1:12" ht="15">
      <c r="A2" s="186"/>
      <c r="B2" s="186"/>
      <c r="C2" s="256" t="s">
        <v>285</v>
      </c>
      <c r="D2" s="255"/>
      <c r="E2" s="255"/>
      <c r="F2" s="255"/>
      <c r="G2" s="256" t="s">
        <v>283</v>
      </c>
      <c r="I2" s="255"/>
      <c r="J2" s="187"/>
      <c r="K2" s="186"/>
      <c r="L2" s="186"/>
    </row>
    <row r="3" spans="1:12" ht="13.5">
      <c r="A3" s="186"/>
      <c r="B3" s="186"/>
      <c r="C3" s="188" t="s">
        <v>378</v>
      </c>
      <c r="D3" s="187" t="s">
        <v>380</v>
      </c>
      <c r="E3" s="187"/>
      <c r="F3" s="187"/>
      <c r="G3" s="187"/>
      <c r="H3" s="186"/>
      <c r="I3" s="186"/>
      <c r="J3" s="186"/>
      <c r="K3" s="186"/>
      <c r="L3" s="186"/>
    </row>
    <row r="4" spans="1:12" ht="13.5">
      <c r="A4" s="186"/>
      <c r="B4" s="186"/>
      <c r="C4" s="189" t="s">
        <v>379</v>
      </c>
      <c r="D4" s="190" t="s">
        <v>381</v>
      </c>
      <c r="E4" s="190"/>
      <c r="F4" s="190"/>
      <c r="G4" s="190"/>
      <c r="H4" s="186"/>
      <c r="I4" s="186"/>
      <c r="J4" s="186"/>
      <c r="K4" s="186"/>
      <c r="L4" s="186"/>
    </row>
    <row r="5" spans="1:12" ht="13.5">
      <c r="A5" s="186"/>
      <c r="B5" s="186"/>
      <c r="C5" s="186"/>
      <c r="D5" s="186"/>
      <c r="E5" s="186"/>
      <c r="F5" s="186"/>
      <c r="G5" s="186"/>
      <c r="H5" s="186"/>
      <c r="I5" s="186"/>
      <c r="J5" s="186"/>
      <c r="K5" s="186"/>
      <c r="L5" s="186"/>
    </row>
    <row r="6" spans="1:12" ht="13.5">
      <c r="A6" s="191" t="s">
        <v>243</v>
      </c>
      <c r="B6" s="192"/>
      <c r="C6" s="192"/>
      <c r="D6" s="192"/>
      <c r="E6" s="192"/>
      <c r="F6" s="192"/>
      <c r="G6" s="192"/>
      <c r="H6" s="192"/>
      <c r="I6" s="192"/>
      <c r="J6" s="186"/>
      <c r="K6" s="186"/>
      <c r="L6" s="186"/>
    </row>
    <row r="7" spans="1:12" ht="16.5">
      <c r="A7" s="186"/>
      <c r="B7" s="193" t="s">
        <v>247</v>
      </c>
      <c r="C7" s="2">
        <v>85</v>
      </c>
      <c r="D7" s="193" t="s">
        <v>29</v>
      </c>
      <c r="E7" s="186"/>
      <c r="F7" s="186"/>
      <c r="G7" s="186"/>
      <c r="H7" s="186"/>
      <c r="I7" s="186"/>
      <c r="J7" s="186"/>
      <c r="K7" s="186"/>
      <c r="L7" s="186"/>
    </row>
    <row r="8" spans="1:12" ht="16.5">
      <c r="A8" s="186"/>
      <c r="B8" s="193" t="s">
        <v>246</v>
      </c>
      <c r="C8" s="2">
        <v>265</v>
      </c>
      <c r="D8" s="193" t="s">
        <v>29</v>
      </c>
      <c r="E8" s="193"/>
      <c r="F8" s="193"/>
      <c r="G8" s="186"/>
      <c r="H8" s="186"/>
      <c r="I8" s="186"/>
      <c r="J8" s="186"/>
      <c r="K8" s="186"/>
      <c r="L8" s="186"/>
    </row>
    <row r="9" spans="1:12" ht="16.5">
      <c r="A9" s="186"/>
      <c r="B9" s="193" t="s">
        <v>248</v>
      </c>
      <c r="C9" s="2">
        <v>60</v>
      </c>
      <c r="D9" s="193" t="s">
        <v>1</v>
      </c>
      <c r="E9" s="186"/>
      <c r="F9" s="186"/>
      <c r="G9" s="186"/>
      <c r="H9" s="186"/>
      <c r="I9" s="186"/>
      <c r="J9" s="186"/>
      <c r="K9" s="186"/>
      <c r="L9" s="186"/>
    </row>
    <row r="10" spans="1:12" ht="13.5">
      <c r="A10" s="186"/>
      <c r="B10" s="194"/>
      <c r="C10" s="186"/>
      <c r="D10" s="186"/>
      <c r="E10" s="186"/>
      <c r="F10" s="186"/>
      <c r="G10" s="186"/>
      <c r="H10" s="186"/>
      <c r="I10" s="186"/>
      <c r="J10" s="186"/>
      <c r="K10" s="186"/>
      <c r="L10" s="186"/>
    </row>
    <row r="11" spans="1:14" ht="16.5">
      <c r="A11" s="186"/>
      <c r="B11" s="195"/>
      <c r="C11" s="196" t="s">
        <v>260</v>
      </c>
      <c r="D11" s="195"/>
      <c r="E11" s="196" t="s">
        <v>261</v>
      </c>
      <c r="F11" s="195"/>
      <c r="G11" s="196" t="s">
        <v>262</v>
      </c>
      <c r="H11" s="196"/>
      <c r="I11" s="196" t="s">
        <v>263</v>
      </c>
      <c r="J11" s="186"/>
      <c r="K11" s="186"/>
      <c r="L11" s="186"/>
      <c r="N11" s="171"/>
    </row>
    <row r="12" spans="1:14" ht="13.5">
      <c r="A12" s="186"/>
      <c r="B12" s="193" t="s">
        <v>363</v>
      </c>
      <c r="C12" s="2">
        <v>125</v>
      </c>
      <c r="D12" s="193" t="s">
        <v>0</v>
      </c>
      <c r="E12" s="183">
        <v>0.4</v>
      </c>
      <c r="F12" s="193" t="s">
        <v>7</v>
      </c>
      <c r="G12" s="168">
        <f>C12*E12</f>
        <v>50</v>
      </c>
      <c r="H12" s="197" t="s">
        <v>10</v>
      </c>
      <c r="I12" s="168">
        <f>G12/C$18*100</f>
        <v>60.24096385542169</v>
      </c>
      <c r="J12" s="197" t="s">
        <v>12</v>
      </c>
      <c r="K12" s="186"/>
      <c r="L12" s="186"/>
      <c r="N12" s="171"/>
    </row>
    <row r="13" spans="1:14" ht="13.5">
      <c r="A13" s="186"/>
      <c r="B13" s="193" t="s">
        <v>321</v>
      </c>
      <c r="C13" s="2">
        <v>24</v>
      </c>
      <c r="D13" s="193" t="s">
        <v>0</v>
      </c>
      <c r="E13" s="183">
        <v>0.5</v>
      </c>
      <c r="F13" s="193" t="s">
        <v>6</v>
      </c>
      <c r="G13" s="168">
        <f>C13*E13</f>
        <v>12</v>
      </c>
      <c r="H13" s="197" t="s">
        <v>11</v>
      </c>
      <c r="I13" s="168">
        <f>G13/C$18*100</f>
        <v>14.457831325301203</v>
      </c>
      <c r="J13" s="197" t="s">
        <v>13</v>
      </c>
      <c r="K13" s="186"/>
      <c r="L13" s="186"/>
      <c r="N13" s="171"/>
    </row>
    <row r="14" spans="1:14" ht="13.5">
      <c r="A14" s="186"/>
      <c r="B14" s="193" t="s">
        <v>322</v>
      </c>
      <c r="C14" s="2">
        <v>18</v>
      </c>
      <c r="D14" s="193" t="s">
        <v>0</v>
      </c>
      <c r="E14" s="183">
        <v>0.5</v>
      </c>
      <c r="F14" s="193" t="s">
        <v>8</v>
      </c>
      <c r="G14" s="168">
        <f>C14*E14</f>
        <v>9</v>
      </c>
      <c r="H14" s="197" t="s">
        <v>2</v>
      </c>
      <c r="I14" s="168">
        <f>G14/C$18*100</f>
        <v>10.843373493975903</v>
      </c>
      <c r="J14" s="197" t="s">
        <v>14</v>
      </c>
      <c r="K14" s="186"/>
      <c r="L14" s="186"/>
      <c r="N14" s="171"/>
    </row>
    <row r="15" spans="1:14" ht="13.5">
      <c r="A15" s="186"/>
      <c r="B15" s="193" t="s">
        <v>323</v>
      </c>
      <c r="C15" s="2">
        <v>12</v>
      </c>
      <c r="D15" s="193" t="s">
        <v>0</v>
      </c>
      <c r="E15" s="183">
        <v>1</v>
      </c>
      <c r="F15" s="193" t="s">
        <v>8</v>
      </c>
      <c r="G15" s="168">
        <f>C15*E15</f>
        <v>12</v>
      </c>
      <c r="H15" s="197" t="s">
        <v>10</v>
      </c>
      <c r="I15" s="168">
        <f>G15/C$18*100</f>
        <v>14.457831325301203</v>
      </c>
      <c r="J15" s="197" t="s">
        <v>14</v>
      </c>
      <c r="K15" s="186"/>
      <c r="L15" s="186"/>
      <c r="N15" s="171"/>
    </row>
    <row r="16" spans="1:14" ht="13.5">
      <c r="A16" s="186"/>
      <c r="B16" s="193" t="s">
        <v>324</v>
      </c>
      <c r="C16" s="2"/>
      <c r="D16" s="193" t="s">
        <v>0</v>
      </c>
      <c r="E16" s="183"/>
      <c r="F16" s="193" t="s">
        <v>8</v>
      </c>
      <c r="G16" s="168">
        <f>C16*E16</f>
        <v>0</v>
      </c>
      <c r="H16" s="197" t="s">
        <v>10</v>
      </c>
      <c r="I16" s="168">
        <f>G16/C$18*100</f>
        <v>0</v>
      </c>
      <c r="J16" s="197" t="s">
        <v>14</v>
      </c>
      <c r="K16" s="186"/>
      <c r="L16" s="186"/>
      <c r="N16" s="171"/>
    </row>
    <row r="17" spans="1:12" ht="13.5">
      <c r="A17" s="186"/>
      <c r="C17" s="171"/>
      <c r="J17" s="197"/>
      <c r="K17" s="186"/>
      <c r="L17" s="186"/>
    </row>
    <row r="18" spans="1:14" ht="16.5">
      <c r="A18" s="186"/>
      <c r="B18" s="197" t="s">
        <v>249</v>
      </c>
      <c r="C18" s="198">
        <f>SUM(G12:G17)</f>
        <v>83</v>
      </c>
      <c r="D18" s="197" t="s">
        <v>9</v>
      </c>
      <c r="E18" s="186"/>
      <c r="F18" s="186"/>
      <c r="G18" s="186"/>
      <c r="H18" s="186"/>
      <c r="I18" s="186"/>
      <c r="J18" s="186"/>
      <c r="K18" s="186"/>
      <c r="L18" s="186"/>
      <c r="N18" s="171"/>
    </row>
    <row r="19" spans="1:14" ht="16.5">
      <c r="A19" s="186"/>
      <c r="B19" s="193" t="s">
        <v>251</v>
      </c>
      <c r="C19" s="2">
        <v>82</v>
      </c>
      <c r="D19" s="193" t="s">
        <v>3</v>
      </c>
      <c r="E19" s="186"/>
      <c r="F19" s="186"/>
      <c r="G19" s="186"/>
      <c r="H19" s="186"/>
      <c r="I19" s="186"/>
      <c r="J19" s="186"/>
      <c r="K19" s="186"/>
      <c r="L19" s="186"/>
      <c r="N19" s="171"/>
    </row>
    <row r="20" spans="1:14" ht="16.5">
      <c r="A20" s="186"/>
      <c r="B20" s="197" t="s">
        <v>250</v>
      </c>
      <c r="C20" s="198">
        <f>Po/Eff</f>
        <v>101.21951219512195</v>
      </c>
      <c r="D20" s="197" t="s">
        <v>9</v>
      </c>
      <c r="E20" s="186"/>
      <c r="F20" s="186"/>
      <c r="G20" s="186"/>
      <c r="H20" s="186"/>
      <c r="I20" s="186"/>
      <c r="J20" s="186"/>
      <c r="K20" s="186"/>
      <c r="L20" s="186"/>
      <c r="N20" s="171"/>
    </row>
    <row r="21" spans="1:14" ht="13.5">
      <c r="A21" s="186"/>
      <c r="B21" s="186"/>
      <c r="C21" s="186"/>
      <c r="D21" s="186"/>
      <c r="E21" s="186"/>
      <c r="F21" s="186"/>
      <c r="G21" s="186"/>
      <c r="H21" s="186"/>
      <c r="I21" s="186"/>
      <c r="J21" s="186"/>
      <c r="K21" s="186"/>
      <c r="L21" s="186"/>
      <c r="N21" s="171"/>
    </row>
    <row r="22" spans="1:14" ht="13.5">
      <c r="A22" s="191" t="s">
        <v>244</v>
      </c>
      <c r="B22" s="191"/>
      <c r="C22" s="191"/>
      <c r="D22" s="191"/>
      <c r="E22" s="191"/>
      <c r="F22" s="191"/>
      <c r="G22" s="191"/>
      <c r="H22" s="191"/>
      <c r="I22" s="191"/>
      <c r="K22" s="186"/>
      <c r="L22" s="186"/>
      <c r="N22" s="171"/>
    </row>
    <row r="23" spans="1:14" ht="16.5">
      <c r="A23" s="186"/>
      <c r="B23" s="193" t="s">
        <v>252</v>
      </c>
      <c r="C23" s="2">
        <v>220</v>
      </c>
      <c r="D23" s="193" t="s">
        <v>5</v>
      </c>
      <c r="E23" s="186"/>
      <c r="F23" s="186"/>
      <c r="G23" s="186"/>
      <c r="H23" s="186"/>
      <c r="I23" s="186"/>
      <c r="J23" s="186"/>
      <c r="K23" s="186"/>
      <c r="L23" s="186"/>
      <c r="N23" s="171"/>
    </row>
    <row r="24" spans="1:14" ht="17.25">
      <c r="A24" s="186"/>
      <c r="B24" s="197" t="s">
        <v>254</v>
      </c>
      <c r="C24" s="168">
        <f>SQRT(2*V_line_min^2-Pin*(1-0.2)/Cdc/fL)</f>
        <v>91.18927628502459</v>
      </c>
      <c r="D24" s="197" t="s">
        <v>0</v>
      </c>
      <c r="E24" s="186"/>
      <c r="F24" s="186"/>
      <c r="G24" s="186"/>
      <c r="H24" s="186"/>
      <c r="I24" s="186"/>
      <c r="J24" s="186"/>
      <c r="K24" s="186"/>
      <c r="L24" s="186"/>
      <c r="N24" s="171"/>
    </row>
    <row r="25" spans="1:14" ht="17.25">
      <c r="A25" s="186"/>
      <c r="B25" s="197" t="s">
        <v>253</v>
      </c>
      <c r="C25" s="168">
        <f>SQRT(2)*V_line_max</f>
        <v>374.7665940288702</v>
      </c>
      <c r="D25" s="197" t="s">
        <v>0</v>
      </c>
      <c r="E25" s="186"/>
      <c r="F25" s="186"/>
      <c r="G25" s="186"/>
      <c r="H25" s="186"/>
      <c r="I25" s="186"/>
      <c r="J25" s="186"/>
      <c r="K25" s="186"/>
      <c r="L25" s="186"/>
      <c r="N25" s="171"/>
    </row>
    <row r="26" spans="1:14" ht="13.5">
      <c r="A26" s="186"/>
      <c r="B26" s="186"/>
      <c r="C26" s="186"/>
      <c r="D26" s="186"/>
      <c r="E26" s="186"/>
      <c r="F26" s="186"/>
      <c r="G26" s="186"/>
      <c r="H26" s="186"/>
      <c r="I26" s="186"/>
      <c r="J26" s="186"/>
      <c r="K26" s="186"/>
      <c r="L26" s="186"/>
      <c r="N26" s="171"/>
    </row>
    <row r="27" spans="1:14" ht="16.5">
      <c r="A27" s="191" t="s">
        <v>294</v>
      </c>
      <c r="B27" s="191"/>
      <c r="C27" s="191"/>
      <c r="D27" s="191"/>
      <c r="E27" s="191"/>
      <c r="F27" s="191"/>
      <c r="G27" s="191"/>
      <c r="H27" s="191"/>
      <c r="I27" s="191"/>
      <c r="J27" s="186"/>
      <c r="K27" s="186"/>
      <c r="L27" s="186"/>
      <c r="N27" s="171"/>
    </row>
    <row r="28" spans="1:14" ht="16.5">
      <c r="A28" s="186"/>
      <c r="B28" s="193" t="s">
        <v>364</v>
      </c>
      <c r="C28" s="281">
        <v>126</v>
      </c>
      <c r="D28" s="193" t="s">
        <v>0</v>
      </c>
      <c r="E28" s="186"/>
      <c r="F28" s="199"/>
      <c r="G28" s="186"/>
      <c r="H28" s="186"/>
      <c r="I28" s="186"/>
      <c r="J28" s="186"/>
      <c r="K28" s="186"/>
      <c r="L28" s="186"/>
      <c r="N28" s="171"/>
    </row>
    <row r="29" spans="2:14" ht="17.25">
      <c r="B29" s="197" t="s">
        <v>365</v>
      </c>
      <c r="C29" s="168">
        <f>VRO+Vdc_max</f>
        <v>500.7665940288702</v>
      </c>
      <c r="D29" s="197" t="s">
        <v>0</v>
      </c>
      <c r="E29" s="186"/>
      <c r="K29" s="186"/>
      <c r="L29" s="186"/>
      <c r="N29" s="171"/>
    </row>
    <row r="30" spans="1:14" ht="13.5">
      <c r="A30" s="186"/>
      <c r="F30" s="186"/>
      <c r="G30" s="186"/>
      <c r="H30" s="186"/>
      <c r="I30" s="186"/>
      <c r="J30" s="186"/>
      <c r="K30" s="186"/>
      <c r="L30" s="186"/>
      <c r="N30" s="171"/>
    </row>
    <row r="31" spans="1:14" ht="13.5">
      <c r="A31" s="191" t="s">
        <v>295</v>
      </c>
      <c r="B31" s="191"/>
      <c r="C31" s="191"/>
      <c r="D31" s="191"/>
      <c r="E31" s="191"/>
      <c r="F31" s="191"/>
      <c r="G31" s="191"/>
      <c r="H31" s="191"/>
      <c r="I31" s="191"/>
      <c r="J31" s="186"/>
      <c r="K31" s="186"/>
      <c r="L31" s="186"/>
      <c r="N31" s="171"/>
    </row>
    <row r="32" spans="2:14" ht="16.5">
      <c r="B32" s="193" t="s">
        <v>296</v>
      </c>
      <c r="C32" s="2">
        <v>2.3</v>
      </c>
      <c r="D32" s="193" t="s">
        <v>280</v>
      </c>
      <c r="E32" s="186"/>
      <c r="J32" s="186"/>
      <c r="K32" s="186"/>
      <c r="L32" s="186"/>
      <c r="N32" s="171"/>
    </row>
    <row r="33" spans="2:14" ht="16.5">
      <c r="B33" s="193" t="s">
        <v>281</v>
      </c>
      <c r="C33" s="2">
        <v>24</v>
      </c>
      <c r="D33" s="193" t="s">
        <v>15</v>
      </c>
      <c r="J33" s="186"/>
      <c r="K33" s="186"/>
      <c r="L33" s="186"/>
      <c r="N33" s="171"/>
    </row>
    <row r="34" spans="2:14" ht="16.5">
      <c r="B34" s="197" t="s">
        <v>297</v>
      </c>
      <c r="C34" s="200">
        <f>VRO/(VRO+Vdc_min)*(1-fs_min*Tr)</f>
        <v>0.5481154596407127</v>
      </c>
      <c r="D34" s="186"/>
      <c r="J34" s="186"/>
      <c r="K34" s="186"/>
      <c r="L34" s="186"/>
      <c r="N34" s="171"/>
    </row>
    <row r="35" spans="1:14" ht="16.5">
      <c r="A35" s="186"/>
      <c r="B35" s="197" t="s">
        <v>255</v>
      </c>
      <c r="C35" s="168">
        <f>(Vdc_min*Dmax)^2/(2*Pin*fs_min)*1000000</f>
        <v>514.1930043380291</v>
      </c>
      <c r="D35" s="197" t="s">
        <v>4</v>
      </c>
      <c r="E35" s="186"/>
      <c r="F35" s="186"/>
      <c r="G35" s="186"/>
      <c r="H35" s="186"/>
      <c r="I35" s="186"/>
      <c r="J35" s="186"/>
      <c r="K35" s="186"/>
      <c r="L35" s="186"/>
      <c r="N35" s="171"/>
    </row>
    <row r="36" spans="1:14" ht="17.25">
      <c r="A36" s="186"/>
      <c r="B36" s="197" t="s">
        <v>256</v>
      </c>
      <c r="C36" s="200">
        <f>Vdc_min*Dmax/(Lm*fs_min)*1000000</f>
        <v>4.05021814633084</v>
      </c>
      <c r="D36" s="197" t="s">
        <v>7</v>
      </c>
      <c r="E36" s="186"/>
      <c r="F36" s="186"/>
      <c r="G36" s="186"/>
      <c r="H36" s="186"/>
      <c r="I36" s="186"/>
      <c r="J36" s="186"/>
      <c r="K36" s="186"/>
      <c r="L36" s="186"/>
      <c r="N36" s="171"/>
    </row>
    <row r="37" spans="1:14" ht="17.25">
      <c r="A37" s="186"/>
      <c r="B37" s="197" t="s">
        <v>257</v>
      </c>
      <c r="C37" s="200">
        <f>SQRT(Ipk^2*Dmax/3)</f>
        <v>1.731226190189026</v>
      </c>
      <c r="D37" s="197" t="s">
        <v>7</v>
      </c>
      <c r="E37" s="201"/>
      <c r="F37" s="186"/>
      <c r="G37" s="186"/>
      <c r="H37" s="186"/>
      <c r="I37" s="186"/>
      <c r="J37" s="186"/>
      <c r="K37" s="186"/>
      <c r="L37" s="186"/>
      <c r="N37" s="171"/>
    </row>
    <row r="38" spans="1:14" ht="13.5">
      <c r="A38" s="186"/>
      <c r="B38" s="186"/>
      <c r="C38" s="186"/>
      <c r="D38" s="186"/>
      <c r="E38" s="186"/>
      <c r="F38" s="186"/>
      <c r="G38" s="186"/>
      <c r="H38" s="186"/>
      <c r="I38" s="186"/>
      <c r="J38" s="186"/>
      <c r="K38" s="186"/>
      <c r="L38" s="186"/>
      <c r="N38" s="171"/>
    </row>
    <row r="39" spans="1:14" ht="13.5">
      <c r="A39" s="191" t="s">
        <v>242</v>
      </c>
      <c r="B39" s="191"/>
      <c r="C39" s="191"/>
      <c r="D39" s="191"/>
      <c r="E39" s="191"/>
      <c r="F39" s="191"/>
      <c r="G39" s="191"/>
      <c r="H39" s="191"/>
      <c r="I39" s="191"/>
      <c r="J39" s="186"/>
      <c r="K39" s="186"/>
      <c r="L39" s="186"/>
      <c r="N39" s="171"/>
    </row>
    <row r="40" spans="2:14" ht="16.5">
      <c r="B40" s="193" t="s">
        <v>367</v>
      </c>
      <c r="C40" s="183">
        <v>5</v>
      </c>
      <c r="D40" s="193" t="s">
        <v>277</v>
      </c>
      <c r="F40" s="225"/>
      <c r="J40" s="186"/>
      <c r="K40" s="186"/>
      <c r="L40" s="186"/>
      <c r="N40" s="171"/>
    </row>
    <row r="41" spans="1:14" ht="16.5">
      <c r="A41" s="186"/>
      <c r="B41" s="241" t="s">
        <v>370</v>
      </c>
      <c r="C41" s="200">
        <f>Ilim*0.88</f>
        <v>4.4</v>
      </c>
      <c r="D41" s="197" t="s">
        <v>7</v>
      </c>
      <c r="E41" s="240" t="s">
        <v>278</v>
      </c>
      <c r="F41" s="284">
        <f>Ipk</f>
        <v>4.05021814633084</v>
      </c>
      <c r="G41" s="284"/>
      <c r="H41" s="202" t="s">
        <v>7</v>
      </c>
      <c r="I41" s="186"/>
      <c r="J41" s="186"/>
      <c r="K41" s="186"/>
      <c r="L41" s="186"/>
      <c r="N41" s="171"/>
    </row>
    <row r="42" spans="1:14" ht="13.5">
      <c r="A42" s="186"/>
      <c r="B42" s="186"/>
      <c r="C42" s="203" t="str">
        <f>IF(C41&lt;F41,"-&gt;Higher current limit is required !!!","-&gt;O.K.")</f>
        <v>-&gt;O.K.</v>
      </c>
      <c r="D42" s="186"/>
      <c r="E42" s="186"/>
      <c r="F42" s="186"/>
      <c r="G42" s="186"/>
      <c r="H42" s="186"/>
      <c r="I42" s="186"/>
      <c r="J42" s="186"/>
      <c r="K42" s="186"/>
      <c r="L42" s="186"/>
      <c r="N42" s="171"/>
    </row>
    <row r="43" spans="10:14" ht="13.5">
      <c r="J43" s="186"/>
      <c r="K43" s="186"/>
      <c r="L43" s="186"/>
      <c r="N43" s="171"/>
    </row>
    <row r="44" spans="1:14" ht="13.5">
      <c r="A44" s="191" t="s">
        <v>245</v>
      </c>
      <c r="B44" s="191"/>
      <c r="C44" s="191"/>
      <c r="D44" s="191"/>
      <c r="E44" s="191"/>
      <c r="F44" s="191"/>
      <c r="G44" s="191"/>
      <c r="H44" s="191"/>
      <c r="I44" s="191"/>
      <c r="J44" s="186"/>
      <c r="K44" s="186"/>
      <c r="L44" s="186"/>
      <c r="N44" s="171"/>
    </row>
    <row r="45" spans="2:14" ht="16.5">
      <c r="B45" s="193" t="s">
        <v>376</v>
      </c>
      <c r="C45" s="183">
        <v>0.3</v>
      </c>
      <c r="D45" s="193" t="s">
        <v>17</v>
      </c>
      <c r="E45" s="277" t="s">
        <v>373</v>
      </c>
      <c r="F45" s="266" t="s">
        <v>375</v>
      </c>
      <c r="G45" s="266">
        <f>Lm*Ipk/dB/Ae</f>
        <v>63.68788492006905</v>
      </c>
      <c r="H45" s="266" t="s">
        <v>17</v>
      </c>
      <c r="L45" s="186"/>
      <c r="N45" s="171"/>
    </row>
    <row r="46" spans="2:14" ht="16.5">
      <c r="B46" s="193" t="s">
        <v>372</v>
      </c>
      <c r="C46" s="183">
        <v>0.38</v>
      </c>
      <c r="D46" s="193" t="s">
        <v>17</v>
      </c>
      <c r="E46" s="277" t="s">
        <v>373</v>
      </c>
      <c r="F46" s="266" t="s">
        <v>375</v>
      </c>
      <c r="G46" s="266">
        <f>Lm*Ilim/Bsat/Ae</f>
        <v>62.070618582572315</v>
      </c>
      <c r="H46" s="266" t="s">
        <v>374</v>
      </c>
      <c r="L46" s="186"/>
      <c r="N46" s="171"/>
    </row>
    <row r="47" spans="1:14" ht="17.25">
      <c r="A47" s="186"/>
      <c r="B47" s="193" t="s">
        <v>258</v>
      </c>
      <c r="C47" s="2">
        <v>109</v>
      </c>
      <c r="D47" s="193" t="s">
        <v>16</v>
      </c>
      <c r="E47" s="201"/>
      <c r="F47" s="186"/>
      <c r="G47" s="186"/>
      <c r="H47" s="186"/>
      <c r="I47" s="186"/>
      <c r="J47" s="186"/>
      <c r="K47" s="186"/>
      <c r="L47" s="186"/>
      <c r="N47" s="171"/>
    </row>
    <row r="48" spans="1:14" ht="17.25">
      <c r="A48" s="186"/>
      <c r="B48" s="197" t="s">
        <v>276</v>
      </c>
      <c r="C48" s="198">
        <f>IF(Lm*Ilim/Bsat/Ae&lt;Lm*Ipk/dB/Ae,Lm*Ipk/dB/Ae,Lm*Ilim/Bsat/Ae)</f>
        <v>63.68788492006905</v>
      </c>
      <c r="D48" s="197" t="s">
        <v>17</v>
      </c>
      <c r="E48" s="201"/>
      <c r="F48" s="225"/>
      <c r="G48" s="186"/>
      <c r="H48" s="186"/>
      <c r="I48" s="186"/>
      <c r="J48" s="186"/>
      <c r="K48" s="186"/>
      <c r="L48" s="186"/>
      <c r="N48" s="171"/>
    </row>
    <row r="49" spans="1:14" ht="13.5">
      <c r="A49" s="186"/>
      <c r="E49" s="201"/>
      <c r="F49" s="186"/>
      <c r="G49" s="186"/>
      <c r="H49" s="186"/>
      <c r="I49" s="186"/>
      <c r="J49" s="186"/>
      <c r="K49" s="186"/>
      <c r="L49" s="186"/>
      <c r="N49" s="171"/>
    </row>
    <row r="50" spans="1:14" ht="13.5">
      <c r="A50" s="186"/>
      <c r="B50" s="186"/>
      <c r="C50" s="186"/>
      <c r="D50" s="186"/>
      <c r="E50" s="186"/>
      <c r="F50" s="202"/>
      <c r="G50" s="202"/>
      <c r="H50" s="202"/>
      <c r="I50" s="202"/>
      <c r="J50" s="186"/>
      <c r="K50" s="186"/>
      <c r="L50" s="186"/>
      <c r="N50" s="171"/>
    </row>
    <row r="51" spans="1:13" ht="13.5">
      <c r="A51" s="191" t="s">
        <v>371</v>
      </c>
      <c r="B51" s="191"/>
      <c r="C51" s="191"/>
      <c r="D51" s="191"/>
      <c r="E51" s="191"/>
      <c r="F51" s="191"/>
      <c r="G51" s="191"/>
      <c r="H51" s="191"/>
      <c r="I51" s="191"/>
      <c r="J51" s="186"/>
      <c r="K51" s="193"/>
      <c r="M51" s="171"/>
    </row>
    <row r="52" spans="2:14" ht="17.25">
      <c r="B52" s="278" t="s">
        <v>298</v>
      </c>
      <c r="C52" s="282">
        <v>8</v>
      </c>
      <c r="D52" s="193" t="s">
        <v>0</v>
      </c>
      <c r="E52" s="280" t="s">
        <v>369</v>
      </c>
      <c r="F52" s="266">
        <f>Vo2</f>
        <v>24</v>
      </c>
      <c r="G52" s="266" t="s">
        <v>368</v>
      </c>
      <c r="H52" s="266"/>
      <c r="I52" s="266"/>
      <c r="K52" s="186"/>
      <c r="L52" s="171"/>
      <c r="N52" s="171"/>
    </row>
    <row r="53" spans="2:14" ht="16.5">
      <c r="B53" s="279" t="s">
        <v>382</v>
      </c>
      <c r="C53" s="200">
        <f>(Vo2_stby+VF2)/(Vo2+VF2)</f>
        <v>0.36507936507936506</v>
      </c>
      <c r="D53" s="197"/>
      <c r="K53" s="171"/>
      <c r="L53" s="171"/>
      <c r="N53" s="171"/>
    </row>
    <row r="54" spans="2:14" ht="17.25">
      <c r="B54" s="278" t="s">
        <v>383</v>
      </c>
      <c r="C54" s="282">
        <v>13</v>
      </c>
      <c r="D54" s="193" t="s">
        <v>0</v>
      </c>
      <c r="L54" s="171"/>
      <c r="N54" s="171"/>
    </row>
    <row r="55" spans="2:14" ht="17.25">
      <c r="B55" s="279" t="s">
        <v>384</v>
      </c>
      <c r="C55" s="198">
        <f>(Vco_stby+VFC)/C53-VF2</f>
        <v>37.69565217391304</v>
      </c>
      <c r="D55" s="197" t="s">
        <v>0</v>
      </c>
      <c r="L55" s="171"/>
      <c r="N55" s="171"/>
    </row>
    <row r="56" spans="12:14" ht="13.5">
      <c r="L56" s="171"/>
      <c r="N56" s="171"/>
    </row>
    <row r="57" spans="1:14" ht="16.5">
      <c r="A57" s="186"/>
      <c r="B57" s="195"/>
      <c r="C57" s="196" t="s">
        <v>259</v>
      </c>
      <c r="D57" s="195"/>
      <c r="E57" s="195"/>
      <c r="F57" s="196" t="s">
        <v>21</v>
      </c>
      <c r="G57" s="196"/>
      <c r="H57" s="196"/>
      <c r="L57" s="171"/>
      <c r="N57" s="171"/>
    </row>
    <row r="58" spans="1:14" ht="13.5">
      <c r="A58" s="186"/>
      <c r="B58" s="268" t="str">
        <f>CONCATENATE("Winding for Va (",(ROUND(Vco_normal,1)),"V)")</f>
        <v>Winding for Va (37.7V)</v>
      </c>
      <c r="C58" s="2">
        <v>1.2</v>
      </c>
      <c r="D58" s="193" t="s">
        <v>18</v>
      </c>
      <c r="E58" s="238">
        <f>Ns1*(Vco_normal+VFC)/(Vo1+VF1)</f>
        <v>19.72521187900503</v>
      </c>
      <c r="F58" s="204" t="s">
        <v>19</v>
      </c>
      <c r="G58" s="205">
        <f aca="true" t="shared" si="0" ref="G58:G63">ROUND(E58,0)</f>
        <v>20</v>
      </c>
      <c r="H58" s="197" t="s">
        <v>20</v>
      </c>
      <c r="L58" s="171"/>
      <c r="N58" s="171"/>
    </row>
    <row r="59" spans="1:14" ht="13.5">
      <c r="A59" s="186"/>
      <c r="B59" s="197" t="str">
        <f>CONCATENATE("Winding for Vo1 (",(Vo1),"V)")</f>
        <v>Winding for Vo1 (125V)</v>
      </c>
      <c r="C59" s="2">
        <v>1.2</v>
      </c>
      <c r="D59" s="193" t="s">
        <v>18</v>
      </c>
      <c r="E59" s="184">
        <v>64</v>
      </c>
      <c r="F59" s="204" t="s">
        <v>19</v>
      </c>
      <c r="G59" s="205">
        <f t="shared" si="0"/>
        <v>64</v>
      </c>
      <c r="H59" s="197" t="s">
        <v>20</v>
      </c>
      <c r="L59" s="171"/>
      <c r="N59" s="171"/>
    </row>
    <row r="60" spans="1:14" ht="13.5">
      <c r="A60" s="186"/>
      <c r="B60" s="197" t="str">
        <f>CONCATENATE("Winding for Vo2 (",(Vo2),"V)")</f>
        <v>Winding for Vo2 (24V)</v>
      </c>
      <c r="C60" s="2">
        <v>1.2</v>
      </c>
      <c r="D60" s="193" t="s">
        <v>18</v>
      </c>
      <c r="E60" s="238">
        <f>Ns1*(Vo2+VF2)/(Vo1+VF1)</f>
        <v>12.7797147385103</v>
      </c>
      <c r="F60" s="204" t="s">
        <v>19</v>
      </c>
      <c r="G60" s="205">
        <f t="shared" si="0"/>
        <v>13</v>
      </c>
      <c r="H60" s="197" t="s">
        <v>20</v>
      </c>
      <c r="L60" s="171"/>
      <c r="N60" s="171"/>
    </row>
    <row r="61" spans="1:14" ht="13.5">
      <c r="A61" s="186"/>
      <c r="B61" s="197" t="str">
        <f>CONCATENATE("Winding for Vo3 (",(Vo3),"V)")</f>
        <v>Winding for Vo3 (18V)</v>
      </c>
      <c r="C61" s="2">
        <v>1.2</v>
      </c>
      <c r="D61" s="193" t="s">
        <v>18</v>
      </c>
      <c r="E61" s="238">
        <f>Ns1*(Vo3+VF3)/(Vo1+VF1)</f>
        <v>9.736925515055466</v>
      </c>
      <c r="F61" s="204" t="s">
        <v>19</v>
      </c>
      <c r="G61" s="205">
        <f t="shared" si="0"/>
        <v>10</v>
      </c>
      <c r="H61" s="197" t="s">
        <v>20</v>
      </c>
      <c r="L61" s="171"/>
      <c r="N61" s="171"/>
    </row>
    <row r="62" spans="1:14" ht="13.5">
      <c r="A62" s="186"/>
      <c r="B62" s="197" t="str">
        <f>CONCATENATE("Winding for Vo4 (",(Vo4),"V)")</f>
        <v>Winding for Vo4 (12V)</v>
      </c>
      <c r="C62" s="2">
        <v>1.2</v>
      </c>
      <c r="D62" s="193" t="s">
        <v>18</v>
      </c>
      <c r="E62" s="238">
        <f>Ns1*(Vo4+VF4)/(Vo1+VF1)</f>
        <v>6.694136291600634</v>
      </c>
      <c r="F62" s="204" t="s">
        <v>19</v>
      </c>
      <c r="G62" s="205">
        <f t="shared" si="0"/>
        <v>7</v>
      </c>
      <c r="H62" s="197" t="s">
        <v>20</v>
      </c>
      <c r="L62" s="186"/>
      <c r="N62" s="171"/>
    </row>
    <row r="63" spans="1:14" ht="13.5">
      <c r="A63" s="186"/>
      <c r="B63" s="197" t="str">
        <f>CONCATENATE("Winding for Vo5 (",(Vo5),"V)")</f>
        <v>Winding for Vo5 (V)</v>
      </c>
      <c r="C63" s="2"/>
      <c r="D63" s="193" t="s">
        <v>18</v>
      </c>
      <c r="E63" s="238">
        <f>Ns1*(Vo5+VF5)/(Vo1+VF1)</f>
        <v>0</v>
      </c>
      <c r="F63" s="204" t="s">
        <v>19</v>
      </c>
      <c r="G63" s="205">
        <f t="shared" si="0"/>
        <v>0</v>
      </c>
      <c r="H63" s="197" t="s">
        <v>20</v>
      </c>
      <c r="L63" s="186"/>
      <c r="N63" s="171"/>
    </row>
    <row r="64" spans="1:12" ht="16.5">
      <c r="A64" s="186"/>
      <c r="B64" s="207" t="s">
        <v>319</v>
      </c>
      <c r="C64" s="168">
        <f>VRO/(Vo1+VF1)*Ns1</f>
        <v>63.8985736925515</v>
      </c>
      <c r="D64" s="197" t="s">
        <v>20</v>
      </c>
      <c r="E64" s="268" t="str">
        <f>CONCATENATE("&gt; ",ROUND(C48,1)," T")</f>
        <v>&gt; 63.7 T</v>
      </c>
      <c r="F64" s="203"/>
      <c r="G64" s="203"/>
      <c r="K64" s="186"/>
      <c r="L64" s="186"/>
    </row>
    <row r="65" spans="1:12" ht="13.5">
      <c r="A65" s="186"/>
      <c r="B65" s="186"/>
      <c r="C65" s="203" t="str">
        <f>IF(C64&lt;C48,"---&gt;More turns required !!!","---&gt;enough turns")</f>
        <v>---&gt;enough turns</v>
      </c>
      <c r="F65" s="203"/>
      <c r="G65" s="203"/>
      <c r="H65" s="186"/>
      <c r="K65" s="186"/>
      <c r="L65" s="186"/>
    </row>
    <row r="66" spans="1:12" ht="15.75">
      <c r="A66" s="186"/>
      <c r="B66" s="193" t="s">
        <v>279</v>
      </c>
      <c r="C66" s="2">
        <v>3130</v>
      </c>
      <c r="D66" s="186" t="s">
        <v>30</v>
      </c>
      <c r="E66" s="186"/>
      <c r="F66" s="186"/>
      <c r="G66" s="186"/>
      <c r="H66" s="186"/>
      <c r="I66" s="186"/>
      <c r="J66" s="203"/>
      <c r="K66" s="186"/>
      <c r="L66" s="186"/>
    </row>
    <row r="67" spans="1:12" ht="13.5">
      <c r="A67" s="186"/>
      <c r="B67" s="197" t="s">
        <v>273</v>
      </c>
      <c r="C67" s="205">
        <f>0.4*3.14*Ae*(Np^2/10^9/Lm*1000000-1/AL)</f>
        <v>1.043367727387785</v>
      </c>
      <c r="D67" s="197" t="s">
        <v>22</v>
      </c>
      <c r="E67" s="186"/>
      <c r="F67" s="186"/>
      <c r="G67" s="186"/>
      <c r="H67" s="186"/>
      <c r="I67" s="186"/>
      <c r="J67" s="186"/>
      <c r="K67" s="186"/>
      <c r="L67" s="186"/>
    </row>
    <row r="68" spans="2:12" ht="13.5">
      <c r="B68" s="197"/>
      <c r="C68" s="197"/>
      <c r="D68" s="197"/>
      <c r="K68" s="186"/>
      <c r="L68" s="186"/>
    </row>
    <row r="69" spans="1:12" ht="16.5">
      <c r="A69" s="186"/>
      <c r="B69" s="193" t="s">
        <v>310</v>
      </c>
      <c r="C69" s="281">
        <v>6</v>
      </c>
      <c r="D69" s="193" t="s">
        <v>301</v>
      </c>
      <c r="I69" s="249"/>
      <c r="K69" s="186"/>
      <c r="L69" s="186"/>
    </row>
    <row r="70" spans="1:12" ht="16.5">
      <c r="A70" s="186"/>
      <c r="B70" s="193" t="s">
        <v>303</v>
      </c>
      <c r="C70" s="281">
        <v>1840</v>
      </c>
      <c r="D70" s="210" t="s">
        <v>306</v>
      </c>
      <c r="E70" s="246"/>
      <c r="F70" s="201"/>
      <c r="G70" s="248"/>
      <c r="H70" s="246"/>
      <c r="I70" s="201"/>
      <c r="K70" s="186"/>
      <c r="L70" s="186"/>
    </row>
    <row r="71" spans="1:12" ht="13.5">
      <c r="A71" s="186"/>
      <c r="B71" s="193" t="s">
        <v>304</v>
      </c>
      <c r="C71" s="281">
        <v>18</v>
      </c>
      <c r="D71" s="210" t="s">
        <v>305</v>
      </c>
      <c r="F71" s="186"/>
      <c r="G71" s="248"/>
      <c r="H71" s="246"/>
      <c r="K71" s="186"/>
      <c r="L71" s="186"/>
    </row>
    <row r="72" spans="2:12" ht="13.5">
      <c r="B72" s="197" t="s">
        <v>311</v>
      </c>
      <c r="C72" s="226">
        <f>Iop+Ciss*10^-6*fs*Vz</f>
        <v>8.9808</v>
      </c>
      <c r="D72" s="227" t="s">
        <v>314</v>
      </c>
      <c r="F72" s="193" t="s">
        <v>313</v>
      </c>
      <c r="G72" s="281">
        <v>90</v>
      </c>
      <c r="H72" s="193" t="s">
        <v>312</v>
      </c>
      <c r="I72" s="266"/>
      <c r="K72" s="186"/>
      <c r="L72" s="186"/>
    </row>
    <row r="73" spans="2:12" ht="13.5">
      <c r="B73" s="193" t="s">
        <v>315</v>
      </c>
      <c r="C73" s="282">
        <v>1.5</v>
      </c>
      <c r="D73" s="210" t="s">
        <v>291</v>
      </c>
      <c r="E73" s="267" t="s">
        <v>289</v>
      </c>
      <c r="G73" s="168">
        <f>(Vco_normal-Vz)/Icc</f>
        <v>2.1930843771059414</v>
      </c>
      <c r="H73" s="227" t="s">
        <v>288</v>
      </c>
      <c r="K73" s="186"/>
      <c r="L73" s="186"/>
    </row>
    <row r="74" spans="2:12" ht="13.5">
      <c r="B74" s="197" t="s">
        <v>366</v>
      </c>
      <c r="C74" s="226">
        <f>(Vco_normal-Vz)^2/C73/1000</f>
        <v>0.2586124763705103</v>
      </c>
      <c r="D74" s="227" t="s">
        <v>2</v>
      </c>
      <c r="K74" s="186"/>
      <c r="L74" s="186"/>
    </row>
    <row r="75" spans="11:12" ht="13.5">
      <c r="K75" s="186"/>
      <c r="L75" s="186"/>
    </row>
    <row r="76" spans="11:12" ht="13.5">
      <c r="K76" s="186"/>
      <c r="L76" s="186"/>
    </row>
    <row r="77" spans="1:12" ht="13.5">
      <c r="A77" s="191" t="s">
        <v>377</v>
      </c>
      <c r="B77" s="191"/>
      <c r="C77" s="191"/>
      <c r="D77" s="191"/>
      <c r="E77" s="191"/>
      <c r="F77" s="191"/>
      <c r="G77" s="191"/>
      <c r="H77" s="191"/>
      <c r="I77" s="191"/>
      <c r="K77" s="186"/>
      <c r="L77" s="186"/>
    </row>
    <row r="78" spans="1:12" ht="16.5">
      <c r="A78" s="186"/>
      <c r="B78" s="193" t="s">
        <v>309</v>
      </c>
      <c r="C78" s="281">
        <v>50</v>
      </c>
      <c r="D78" s="193" t="s">
        <v>287</v>
      </c>
      <c r="E78" s="251"/>
      <c r="F78" s="251"/>
      <c r="G78" s="252"/>
      <c r="H78" s="253"/>
      <c r="I78" s="219"/>
      <c r="K78" s="186"/>
      <c r="L78" s="186"/>
    </row>
    <row r="79" spans="1:12" ht="13.5">
      <c r="A79" s="186"/>
      <c r="B79" s="193" t="s">
        <v>290</v>
      </c>
      <c r="C79" s="281">
        <v>240</v>
      </c>
      <c r="D79" s="210" t="s">
        <v>291</v>
      </c>
      <c r="E79" s="267" t="s">
        <v>289</v>
      </c>
      <c r="G79" s="168">
        <f>(SQRT(2)*V_line_min/3.14-15/2)/Istart*1000</f>
        <v>615.657024214733</v>
      </c>
      <c r="H79" s="227" t="s">
        <v>288</v>
      </c>
      <c r="I79" s="249"/>
      <c r="K79" s="186"/>
      <c r="L79" s="186"/>
    </row>
    <row r="80" spans="1:12" ht="13.5">
      <c r="A80" s="186"/>
      <c r="B80" s="193" t="s">
        <v>302</v>
      </c>
      <c r="C80" s="281">
        <v>20</v>
      </c>
      <c r="D80" s="210" t="s">
        <v>27</v>
      </c>
      <c r="E80" s="246"/>
      <c r="F80" s="201"/>
      <c r="H80" s="246"/>
      <c r="I80" s="249"/>
      <c r="K80" s="186"/>
      <c r="L80" s="186"/>
    </row>
    <row r="81" spans="2:12" ht="13.5">
      <c r="B81" s="197" t="s">
        <v>300</v>
      </c>
      <c r="C81" s="265">
        <f>1/Rstart*((V_line_max^2+15^2)/2-2*SQRT(2)*15*V_line_max/3.14)/1000</f>
        <v>0.13185178102326686</v>
      </c>
      <c r="D81" s="227" t="s">
        <v>2</v>
      </c>
      <c r="F81" s="266" t="s">
        <v>307</v>
      </c>
      <c r="G81" s="266">
        <f>V_line_max</f>
        <v>265</v>
      </c>
      <c r="H81" s="266" t="s">
        <v>308</v>
      </c>
      <c r="I81" s="266"/>
      <c r="K81" s="186"/>
      <c r="L81" s="202"/>
    </row>
    <row r="82" spans="2:13" ht="17.25">
      <c r="B82" s="197" t="s">
        <v>299</v>
      </c>
      <c r="C82" s="213">
        <f>Cvcc*15/((SQRT(2)*V_line_min/3.14-15/2)/Rstart*1000-Istart)</f>
        <v>3.8332838391885558</v>
      </c>
      <c r="D82" s="227" t="s">
        <v>292</v>
      </c>
      <c r="F82" s="266" t="s">
        <v>307</v>
      </c>
      <c r="G82" s="266">
        <f>V_line_min</f>
        <v>85</v>
      </c>
      <c r="H82" s="266" t="s">
        <v>308</v>
      </c>
      <c r="I82" s="266"/>
      <c r="K82" s="186"/>
      <c r="L82" s="202"/>
      <c r="M82" s="171"/>
    </row>
    <row r="83" spans="11:12" ht="13.5">
      <c r="K83" s="186"/>
      <c r="L83" s="202"/>
    </row>
    <row r="84" spans="1:12" ht="13.5">
      <c r="A84" s="191" t="s">
        <v>316</v>
      </c>
      <c r="B84" s="191"/>
      <c r="C84" s="191"/>
      <c r="D84" s="191"/>
      <c r="E84" s="191"/>
      <c r="F84" s="191"/>
      <c r="G84" s="191"/>
      <c r="H84" s="191"/>
      <c r="I84" s="191"/>
      <c r="K84" s="186"/>
      <c r="L84" s="186"/>
    </row>
    <row r="85" spans="1:12" ht="13.5">
      <c r="A85" s="186"/>
      <c r="B85" s="208"/>
      <c r="C85" s="209"/>
      <c r="D85" s="210"/>
      <c r="E85" s="210"/>
      <c r="F85" s="186"/>
      <c r="G85" s="186"/>
      <c r="H85" s="186"/>
      <c r="K85" s="202"/>
      <c r="L85" s="186"/>
    </row>
    <row r="86" spans="1:12" ht="17.25">
      <c r="A86" s="186"/>
      <c r="B86" s="195"/>
      <c r="C86" s="196" t="s">
        <v>23</v>
      </c>
      <c r="D86" s="196"/>
      <c r="E86" s="211" t="s">
        <v>24</v>
      </c>
      <c r="F86" s="211"/>
      <c r="G86" s="196" t="s">
        <v>264</v>
      </c>
      <c r="H86" s="223"/>
      <c r="I86" s="260"/>
      <c r="J86" s="261" t="s">
        <v>25</v>
      </c>
      <c r="K86" s="202"/>
      <c r="L86" s="186"/>
    </row>
    <row r="87" spans="1:12" ht="13.5">
      <c r="A87" s="186"/>
      <c r="B87" s="197" t="s">
        <v>274</v>
      </c>
      <c r="C87" s="185">
        <v>0.6</v>
      </c>
      <c r="D87" s="193" t="s">
        <v>22</v>
      </c>
      <c r="E87" s="262" t="s">
        <v>293</v>
      </c>
      <c r="F87" s="185">
        <v>1</v>
      </c>
      <c r="G87" s="226">
        <f>Irms</f>
        <v>1.731226190189026</v>
      </c>
      <c r="H87" s="197" t="s">
        <v>7</v>
      </c>
      <c r="I87" s="226">
        <f aca="true" t="shared" si="1" ref="I87:I93">G87/F87/(3.14/4*C87^2)</f>
        <v>6.126065782692944</v>
      </c>
      <c r="J87" s="186"/>
      <c r="K87" s="202"/>
      <c r="L87" s="186"/>
    </row>
    <row r="88" spans="1:12" ht="13.5">
      <c r="A88" s="186"/>
      <c r="B88" s="197" t="str">
        <f>CONCATENATE("Winding for Vcc (",ROUND(Vco_normal,1),"V)")</f>
        <v>Winding for Vcc (37.7V)</v>
      </c>
      <c r="C88" s="185">
        <v>0.3</v>
      </c>
      <c r="D88" s="193" t="s">
        <v>22</v>
      </c>
      <c r="E88" s="262" t="s">
        <v>293</v>
      </c>
      <c r="F88" s="185">
        <v>1</v>
      </c>
      <c r="G88" s="226">
        <v>0.1</v>
      </c>
      <c r="H88" s="197" t="s">
        <v>7</v>
      </c>
      <c r="I88" s="226">
        <f t="shared" si="1"/>
        <v>1.4154281670205238</v>
      </c>
      <c r="J88" s="212"/>
      <c r="K88" s="186"/>
      <c r="L88" s="186"/>
    </row>
    <row r="89" spans="1:12" ht="13.5">
      <c r="A89" s="186"/>
      <c r="B89" s="197" t="str">
        <f>CONCATENATE("Winding for Vo1 (",(Vo1),"V / ",(Io_1),"A)")</f>
        <v>Winding for Vo1 (125V / 0.4A)</v>
      </c>
      <c r="C89" s="185">
        <v>0.5</v>
      </c>
      <c r="D89" s="193" t="s">
        <v>22</v>
      </c>
      <c r="E89" s="262" t="s">
        <v>293</v>
      </c>
      <c r="F89" s="185">
        <v>1</v>
      </c>
      <c r="G89" s="226">
        <f>Irms*SQRT((1-Dmax)/Dmax)*VRO*KL1/(Vo1+VF1)</f>
        <v>0.9454414349466465</v>
      </c>
      <c r="H89" s="197" t="s">
        <v>7</v>
      </c>
      <c r="I89" s="226">
        <f t="shared" si="1"/>
        <v>4.817535974250427</v>
      </c>
      <c r="J89" s="187"/>
      <c r="K89" s="186"/>
      <c r="L89" s="186"/>
    </row>
    <row r="90" spans="1:12" ht="13.5">
      <c r="A90" s="186"/>
      <c r="B90" s="197" t="str">
        <f>CONCATENATE("Winding for Vo2 (",(Vo2),"V / ",(Io_2),"A)")</f>
        <v>Winding for Vo2 (24V / 0.5A)</v>
      </c>
      <c r="C90" s="185">
        <v>0.4</v>
      </c>
      <c r="D90" s="193" t="s">
        <v>22</v>
      </c>
      <c r="E90" s="262" t="s">
        <v>293</v>
      </c>
      <c r="F90" s="185">
        <v>2</v>
      </c>
      <c r="G90" s="226">
        <f>Irms*SQRT((1-Dmax)/Dmax)*VRO*KL2/(Vo2+VF2)</f>
        <v>1.1363305627644456</v>
      </c>
      <c r="H90" s="197" t="s">
        <v>7</v>
      </c>
      <c r="I90" s="226">
        <f t="shared" si="1"/>
        <v>4.52360892820241</v>
      </c>
      <c r="J90" s="187"/>
      <c r="K90" s="186"/>
      <c r="L90" s="186"/>
    </row>
    <row r="91" spans="1:13" ht="13.5">
      <c r="A91" s="186"/>
      <c r="B91" s="197" t="str">
        <f>CONCATENATE("Winding for Vo3 (",(Vo3),"V / ",(Io_3),"A)")</f>
        <v>Winding for Vo3 (18V / 0.5A)</v>
      </c>
      <c r="C91" s="185">
        <v>0.4</v>
      </c>
      <c r="D91" s="193" t="s">
        <v>22</v>
      </c>
      <c r="E91" s="262" t="s">
        <v>293</v>
      </c>
      <c r="F91" s="185">
        <v>2</v>
      </c>
      <c r="G91" s="226">
        <f>Irms*SQRT((1-Dmax)/Dmax)*VRO*KL3/(Vo3+VF3)</f>
        <v>1.1185753977212511</v>
      </c>
      <c r="H91" s="197" t="s">
        <v>7</v>
      </c>
      <c r="I91" s="245">
        <f t="shared" si="1"/>
        <v>4.452927538699248</v>
      </c>
      <c r="J91" s="187"/>
      <c r="K91" s="186"/>
      <c r="L91" s="186"/>
      <c r="M91" s="171"/>
    </row>
    <row r="92" spans="1:13" ht="13.5">
      <c r="A92" s="186"/>
      <c r="B92" s="197" t="str">
        <f>CONCATENATE("Winding for Vo4 (",(Vo4),"V / ",(Io_4),"A)")</f>
        <v>Winding for Vo4 (12V / 1A)</v>
      </c>
      <c r="C92" s="185">
        <v>0.5</v>
      </c>
      <c r="D92" s="193" t="s">
        <v>22</v>
      </c>
      <c r="E92" s="262" t="s">
        <v>293</v>
      </c>
      <c r="F92" s="185">
        <v>2</v>
      </c>
      <c r="G92" s="226">
        <f>Irms*SQRT((1-Dmax)/Dmax)*VRO*KL4/(Vo4+VF4)</f>
        <v>2.1693583470957596</v>
      </c>
      <c r="H92" s="197" t="s">
        <v>7</v>
      </c>
      <c r="I92" s="245">
        <f t="shared" si="1"/>
        <v>5.527027635912763</v>
      </c>
      <c r="J92" s="187"/>
      <c r="K92" s="186"/>
      <c r="L92" s="186"/>
      <c r="M92" s="171"/>
    </row>
    <row r="93" spans="1:13" ht="13.5" customHeight="1">
      <c r="A93" s="186"/>
      <c r="B93" s="197" t="str">
        <f>CONCATENATE("Winding for Vo5 (",(Vo5),"V / ",(Io_5),"A)")</f>
        <v>Winding for Vo5 (V / A)</v>
      </c>
      <c r="C93" s="185"/>
      <c r="D93" s="193" t="s">
        <v>22</v>
      </c>
      <c r="E93" s="262" t="s">
        <v>293</v>
      </c>
      <c r="F93" s="185"/>
      <c r="G93" s="226" t="e">
        <f>Irms*SQRT((1-Dmax)/Dmax)*VRO*KL5/(Vo5+VF5)</f>
        <v>#DIV/0!</v>
      </c>
      <c r="H93" s="197" t="s">
        <v>7</v>
      </c>
      <c r="I93" s="245" t="e">
        <f t="shared" si="1"/>
        <v>#DIV/0!</v>
      </c>
      <c r="J93" s="212"/>
      <c r="K93" s="186"/>
      <c r="L93" s="186"/>
      <c r="M93" s="171"/>
    </row>
    <row r="94" spans="10:13" ht="13.5">
      <c r="J94" s="212"/>
      <c r="K94" s="186"/>
      <c r="L94" s="186"/>
      <c r="M94" s="171"/>
    </row>
    <row r="95" spans="1:13" ht="17.25">
      <c r="A95" s="186"/>
      <c r="B95" s="218" t="s">
        <v>275</v>
      </c>
      <c r="C95" s="200">
        <f>C87^2/4*3.14*F87*Np+C88^2/4*3.14*F88*Nc+C89^2/4*3.14*F89*Ns1+C90^2/4*3.14*F90*Ns2+C91^2/4*3.14*F91*Ns3+C92^2/4*3.14*F92*Ns4+C93^2/4*3.14*F93*Ns5</f>
        <v>40.55583692551506</v>
      </c>
      <c r="D95" s="197" t="s">
        <v>26</v>
      </c>
      <c r="E95" s="216"/>
      <c r="F95" s="214"/>
      <c r="G95" s="217"/>
      <c r="H95" s="218"/>
      <c r="I95" s="214"/>
      <c r="J95" s="212"/>
      <c r="K95" s="186"/>
      <c r="L95" s="186"/>
      <c r="M95" s="171"/>
    </row>
    <row r="96" spans="1:13" ht="16.5">
      <c r="A96" s="214"/>
      <c r="B96" s="193" t="s">
        <v>265</v>
      </c>
      <c r="C96" s="2">
        <v>0.2</v>
      </c>
      <c r="D96" s="193"/>
      <c r="E96" s="219"/>
      <c r="F96" s="220"/>
      <c r="G96" s="220"/>
      <c r="H96" s="220"/>
      <c r="I96" s="220"/>
      <c r="J96" s="212"/>
      <c r="K96" s="186"/>
      <c r="L96" s="186"/>
      <c r="M96" s="171"/>
    </row>
    <row r="97" spans="1:13" ht="17.25">
      <c r="A97" s="214"/>
      <c r="B97" s="215" t="s">
        <v>266</v>
      </c>
      <c r="C97" s="200">
        <f>C95/C96</f>
        <v>202.7791846275753</v>
      </c>
      <c r="D97" s="197" t="s">
        <v>26</v>
      </c>
      <c r="E97" s="221"/>
      <c r="F97" s="221"/>
      <c r="G97" s="221"/>
      <c r="H97" s="221"/>
      <c r="I97" s="221"/>
      <c r="J97" s="218"/>
      <c r="K97" s="186"/>
      <c r="L97" s="186"/>
      <c r="M97" s="171"/>
    </row>
    <row r="98" spans="1:13" ht="13.5">
      <c r="A98" s="221"/>
      <c r="J98" s="214"/>
      <c r="K98" s="186"/>
      <c r="L98" s="186"/>
      <c r="M98" s="171"/>
    </row>
    <row r="99" spans="1:13" ht="13.5">
      <c r="A99" s="191" t="s">
        <v>317</v>
      </c>
      <c r="B99" s="191"/>
      <c r="C99" s="191"/>
      <c r="D99" s="191"/>
      <c r="E99" s="191"/>
      <c r="F99" s="191"/>
      <c r="G99" s="191"/>
      <c r="H99" s="191"/>
      <c r="I99" s="191"/>
      <c r="J99" s="186"/>
      <c r="K99" s="186"/>
      <c r="L99" s="228"/>
      <c r="M99" s="171"/>
    </row>
    <row r="100" spans="1:13" ht="13.5">
      <c r="A100" s="186"/>
      <c r="B100" s="208"/>
      <c r="C100" s="209"/>
      <c r="D100" s="210"/>
      <c r="E100" s="210"/>
      <c r="F100" s="186"/>
      <c r="G100" s="186"/>
      <c r="H100" s="186"/>
      <c r="I100" s="186"/>
      <c r="J100" s="186"/>
      <c r="K100" s="186"/>
      <c r="L100" s="228"/>
      <c r="M100" s="171"/>
    </row>
    <row r="101" spans="1:13" ht="17.25">
      <c r="A101" s="186"/>
      <c r="B101" s="195"/>
      <c r="C101" s="196" t="s">
        <v>267</v>
      </c>
      <c r="D101" s="196"/>
      <c r="E101" s="223"/>
      <c r="F101" s="223"/>
      <c r="G101" s="263" t="s">
        <v>268</v>
      </c>
      <c r="H101" s="264"/>
      <c r="I101" s="223"/>
      <c r="J101" s="186"/>
      <c r="K101" s="186"/>
      <c r="L101" s="228"/>
      <c r="M101" s="171"/>
    </row>
    <row r="102" spans="1:13" ht="13.5">
      <c r="A102" s="186"/>
      <c r="B102" s="197" t="s">
        <v>320</v>
      </c>
      <c r="C102" s="224">
        <f>Vco_normal+SQRT(2)*V_line_max*(Vco_normal+VFC)/VRO</f>
        <v>153.38447033065123</v>
      </c>
      <c r="D102" s="197" t="s">
        <v>0</v>
      </c>
      <c r="G102" s="213">
        <v>0.1</v>
      </c>
      <c r="H102" s="197" t="s">
        <v>7</v>
      </c>
      <c r="I102" s="225"/>
      <c r="J102" s="186"/>
      <c r="K102" s="186"/>
      <c r="L102" s="228"/>
      <c r="M102" s="171"/>
    </row>
    <row r="103" spans="1:13" ht="13.5">
      <c r="A103" s="186"/>
      <c r="B103" s="197" t="str">
        <f>CONCATENATE("Rectifier diode for Vo1 (",(Vo1),"V / ",(Io_1),"A)")</f>
        <v>Rectifier diode for Vo1 (125V / 0.4A)</v>
      </c>
      <c r="C103" s="224">
        <f>Vo1+SQRT(2)*V_line_max*(Vo1+VF1)/VRO</f>
        <v>500.36146163843983</v>
      </c>
      <c r="D103" s="197" t="s">
        <v>0</v>
      </c>
      <c r="G103" s="213">
        <f>Io1rms</f>
        <v>0.9454414349466465</v>
      </c>
      <c r="H103" s="197" t="s">
        <v>7</v>
      </c>
      <c r="I103" s="225"/>
      <c r="J103" s="186"/>
      <c r="K103" s="186"/>
      <c r="L103" s="228"/>
      <c r="M103" s="171"/>
    </row>
    <row r="104" spans="1:13" ht="13.5">
      <c r="A104" s="186"/>
      <c r="B104" s="197" t="str">
        <f>CONCATENATE("Rectifier diode for Vo2 (",(Vo2),"V / ",(Io_2),"A)")</f>
        <v>Rectifier diode for Vo2 (24V / 0.5A)</v>
      </c>
      <c r="C104" s="224">
        <f>Vo2+SQRT(2)*V_line_max*(Vo2+VF2)/VRO</f>
        <v>98.95331880577403</v>
      </c>
      <c r="D104" s="197" t="s">
        <v>0</v>
      </c>
      <c r="G104" s="213">
        <f>Io2rms</f>
        <v>1.1363305627644456</v>
      </c>
      <c r="H104" s="197" t="s">
        <v>7</v>
      </c>
      <c r="I104" s="225"/>
      <c r="J104" s="202"/>
      <c r="K104" s="186"/>
      <c r="L104" s="228"/>
      <c r="M104" s="171"/>
    </row>
    <row r="105" spans="1:13" ht="13.5">
      <c r="A105" s="186"/>
      <c r="B105" s="197" t="str">
        <f>CONCATENATE("Rectifier diode for Vo3 (",(Vo3),"V /",(Io_3),"A)")</f>
        <v>Rectifier diode for Vo3 (18V /0.5A)</v>
      </c>
      <c r="C105" s="224">
        <f>Vo3+SQRT(2)*V_line_max*(Vo3+VF3)/VRO</f>
        <v>75.10729051868498</v>
      </c>
      <c r="D105" s="197" t="s">
        <v>0</v>
      </c>
      <c r="G105" s="213">
        <f>Io3rms</f>
        <v>1.1185753977212511</v>
      </c>
      <c r="H105" s="197" t="s">
        <v>7</v>
      </c>
      <c r="I105" s="186"/>
      <c r="J105" s="202"/>
      <c r="K105" s="186"/>
      <c r="L105" s="228"/>
      <c r="M105" s="259"/>
    </row>
    <row r="106" spans="1:13" ht="13.5">
      <c r="A106" s="186"/>
      <c r="B106" s="197" t="str">
        <f>CONCATENATE("Rectifier diode for Vo1 (",(Vo4),"V /",(Io_4),"A)")</f>
        <v>Rectifier diode for Vo1 (12V /1A)</v>
      </c>
      <c r="C106" s="224">
        <f>Vo4+SQRT(2)*V_line_max*(Vo4+VF4)/VRO</f>
        <v>51.26126223159592</v>
      </c>
      <c r="D106" s="197" t="s">
        <v>0</v>
      </c>
      <c r="G106" s="213">
        <f>Io4rms</f>
        <v>2.1693583470957596</v>
      </c>
      <c r="H106" s="197" t="s">
        <v>7</v>
      </c>
      <c r="I106" s="186"/>
      <c r="J106" s="202"/>
      <c r="K106" s="186"/>
      <c r="L106" s="228"/>
      <c r="M106" s="171"/>
    </row>
    <row r="107" spans="1:13" ht="13.5">
      <c r="A107" s="186"/>
      <c r="B107" s="197" t="str">
        <f>CONCATENATE("Rectifier diode for Vo5 (",(Vo5),"V /",(Io_5),"A)")</f>
        <v>Rectifier diode for Vo5 (V /A)</v>
      </c>
      <c r="C107" s="224">
        <f>Vo5+SQRT(2)*V_line_max*(Vo5+VF5)/VRO</f>
        <v>0</v>
      </c>
      <c r="D107" s="197" t="s">
        <v>0</v>
      </c>
      <c r="G107" s="213" t="e">
        <f>Io5rms</f>
        <v>#DIV/0!</v>
      </c>
      <c r="H107" s="197" t="s">
        <v>7</v>
      </c>
      <c r="I107" s="186"/>
      <c r="J107" s="186"/>
      <c r="K107" s="186"/>
      <c r="L107" s="228"/>
      <c r="M107" s="171"/>
    </row>
    <row r="108" spans="1:13" ht="13.5">
      <c r="A108" s="186"/>
      <c r="B108" s="246"/>
      <c r="C108" s="247"/>
      <c r="D108" s="247"/>
      <c r="E108" s="246"/>
      <c r="F108" s="201"/>
      <c r="G108" s="248"/>
      <c r="H108" s="246"/>
      <c r="I108" s="201"/>
      <c r="J108" s="186"/>
      <c r="K108" s="186"/>
      <c r="L108" s="229"/>
      <c r="M108" s="173"/>
    </row>
    <row r="109" spans="1:13" ht="13.5">
      <c r="A109" s="191" t="s">
        <v>318</v>
      </c>
      <c r="B109" s="191"/>
      <c r="C109" s="191"/>
      <c r="D109" s="191"/>
      <c r="E109" s="191"/>
      <c r="F109" s="191"/>
      <c r="G109" s="191"/>
      <c r="H109" s="191"/>
      <c r="I109" s="191"/>
      <c r="J109" s="186"/>
      <c r="K109" s="186"/>
      <c r="L109" s="186"/>
      <c r="M109" s="174"/>
    </row>
    <row r="110" spans="1:13" ht="13.5">
      <c r="A110" s="186"/>
      <c r="B110" s="208"/>
      <c r="C110" s="209"/>
      <c r="D110" s="210"/>
      <c r="E110" s="210"/>
      <c r="F110" s="186"/>
      <c r="G110" s="186"/>
      <c r="H110" s="186"/>
      <c r="I110" s="186"/>
      <c r="J110" s="186"/>
      <c r="K110" s="186"/>
      <c r="L110" s="186"/>
      <c r="M110" s="174"/>
    </row>
    <row r="111" spans="1:13" ht="16.5">
      <c r="A111" s="186"/>
      <c r="B111" s="195"/>
      <c r="C111" s="242" t="s">
        <v>269</v>
      </c>
      <c r="D111" s="242"/>
      <c r="E111" s="243" t="s">
        <v>270</v>
      </c>
      <c r="F111" s="243"/>
      <c r="G111" s="244" t="s">
        <v>271</v>
      </c>
      <c r="H111" s="244"/>
      <c r="I111" s="222" t="s">
        <v>272</v>
      </c>
      <c r="J111" s="222"/>
      <c r="K111" s="186"/>
      <c r="L111" s="230"/>
      <c r="M111" s="174"/>
    </row>
    <row r="112" spans="1:13" ht="13.5">
      <c r="A112" s="186"/>
      <c r="B112" s="197" t="str">
        <f>CONCATENATE("Output capacitor for Vo1 (",(Vo1),"V / ",(Io_1),"A)")</f>
        <v>Output capacitor for Vo1 (125V / 0.4A)</v>
      </c>
      <c r="C112" s="185">
        <v>100</v>
      </c>
      <c r="D112" s="193" t="s">
        <v>27</v>
      </c>
      <c r="E112" s="185">
        <v>100</v>
      </c>
      <c r="F112" s="210" t="s">
        <v>28</v>
      </c>
      <c r="G112" s="226">
        <f>SQRT(Io1rms^2-Io_1^2)</f>
        <v>0.8566560026720025</v>
      </c>
      <c r="H112" s="227" t="s">
        <v>7</v>
      </c>
      <c r="I112" s="226">
        <f>1000000*Io_1*Dmax/Co_1/fs_min+Ipk*VRO*Rc_1/1000/(Vo1+VF1)*KL1</f>
        <v>0.3349549511307223</v>
      </c>
      <c r="J112" s="227" t="s">
        <v>0</v>
      </c>
      <c r="K112" s="186"/>
      <c r="L112" s="186"/>
      <c r="M112" s="176"/>
    </row>
    <row r="113" spans="1:13" ht="13.5">
      <c r="A113" s="186"/>
      <c r="B113" s="197" t="str">
        <f>CONCATENATE("Output capacitor for Vo2 (",(Vo2),"V / ",(Io_2),"A)")</f>
        <v>Output capacitor for Vo2 (24V / 0.5A)</v>
      </c>
      <c r="C113" s="185">
        <v>1000</v>
      </c>
      <c r="D113" s="193" t="s">
        <v>27</v>
      </c>
      <c r="E113" s="185">
        <v>100</v>
      </c>
      <c r="F113" s="210" t="s">
        <v>28</v>
      </c>
      <c r="G113" s="226">
        <f>SQRT(Io2rms^2-Io_2^2)</f>
        <v>1.0204151840660554</v>
      </c>
      <c r="H113" s="227" t="s">
        <v>7</v>
      </c>
      <c r="I113" s="226">
        <f>1000000*Io_2*Dmax/Co_2/fs_min+Ipk*VRO*Rc_2/1000/(Vo2+VF2)*KL2</f>
        <v>0.30420592602747515</v>
      </c>
      <c r="J113" s="227" t="s">
        <v>0</v>
      </c>
      <c r="K113" s="186"/>
      <c r="L113" s="230"/>
      <c r="M113" s="174"/>
    </row>
    <row r="114" spans="1:13" ht="13.5">
      <c r="A114" s="186"/>
      <c r="B114" s="197" t="str">
        <f>CONCATENATE("Output capacitor for Vo3 (",(Vo3),"V / ",(Io_3),"A)")</f>
        <v>Output capacitor for Vo3 (18V / 0.5A)</v>
      </c>
      <c r="C114" s="185">
        <v>1000</v>
      </c>
      <c r="D114" s="193" t="s">
        <v>27</v>
      </c>
      <c r="E114" s="185">
        <v>100</v>
      </c>
      <c r="F114" s="210" t="s">
        <v>28</v>
      </c>
      <c r="G114" s="226">
        <f>SQRT(Io3rms^2-Io_3^2)</f>
        <v>1.000605277013496</v>
      </c>
      <c r="H114" s="227" t="s">
        <v>7</v>
      </c>
      <c r="I114" s="226">
        <f>1000000*Io_3*Dmax/Co_3/fs_min+Ipk*VRO*Rc_3/1000/(Vo3+VF3)*KL3</f>
        <v>0.29963113143448095</v>
      </c>
      <c r="J114" s="227" t="s">
        <v>0</v>
      </c>
      <c r="K114" s="186"/>
      <c r="L114" s="186"/>
      <c r="M114" s="174"/>
    </row>
    <row r="115" spans="1:13" ht="13.5">
      <c r="A115" s="186"/>
      <c r="B115" s="197" t="str">
        <f>CONCATENATE("Output capacitor for Vo4 (",(Vo4),"V / ",(Io_4),"A)")</f>
        <v>Output capacitor for Vo4 (12V / 1A)</v>
      </c>
      <c r="C115" s="185">
        <v>1000</v>
      </c>
      <c r="D115" s="193" t="s">
        <v>27</v>
      </c>
      <c r="E115" s="185">
        <v>100</v>
      </c>
      <c r="F115" s="210" t="s">
        <v>28</v>
      </c>
      <c r="G115" s="226">
        <f>SQRT(Io4rms^2-Io_4^2)</f>
        <v>1.925127434253132</v>
      </c>
      <c r="H115" s="227" t="s">
        <v>7</v>
      </c>
      <c r="I115" s="226">
        <f>1000000*Io_4*Dmax/Co_4/fs_min+Ipk*VRO*Rc_4/1000/(Vo4+VF4)*KL4</f>
        <v>0.5817948653320751</v>
      </c>
      <c r="J115" s="227" t="s">
        <v>0</v>
      </c>
      <c r="K115" s="186"/>
      <c r="L115" s="232"/>
      <c r="M115" s="174"/>
    </row>
    <row r="116" spans="1:13" ht="13.5">
      <c r="A116" s="186"/>
      <c r="B116" s="197" t="str">
        <f>CONCATENATE("Output capacitor for Vo5 (",(Vo5),"V / ",(Io_5),"A)")</f>
        <v>Output capacitor for Vo5 (V / A)</v>
      </c>
      <c r="C116" s="185"/>
      <c r="D116" s="193" t="s">
        <v>27</v>
      </c>
      <c r="E116" s="185"/>
      <c r="F116" s="210" t="s">
        <v>28</v>
      </c>
      <c r="G116" s="226" t="e">
        <f>SQRT(Io5rms^2-Io_5^2)</f>
        <v>#DIV/0!</v>
      </c>
      <c r="H116" s="227" t="s">
        <v>7</v>
      </c>
      <c r="I116" s="224" t="e">
        <f>1000000*Io_5*Dmax/Co_5/fs_min+Ipk*VRO*Rc_5/1000/(Vo5+VF5)*KL5</f>
        <v>#DIV/0!</v>
      </c>
      <c r="J116" s="227" t="s">
        <v>0</v>
      </c>
      <c r="K116" s="231"/>
      <c r="L116" s="233"/>
      <c r="M116" s="176"/>
    </row>
    <row r="117" spans="11:13" ht="13.5">
      <c r="K117" s="206"/>
      <c r="L117" s="232"/>
      <c r="M117" s="174"/>
    </row>
    <row r="118" spans="1:13" ht="13.5">
      <c r="A118" s="191" t="s">
        <v>331</v>
      </c>
      <c r="B118" s="191"/>
      <c r="C118" s="191"/>
      <c r="D118" s="191"/>
      <c r="E118" s="191"/>
      <c r="F118" s="191"/>
      <c r="G118" s="191"/>
      <c r="H118" s="191"/>
      <c r="I118" s="191"/>
      <c r="J118" s="214"/>
      <c r="K118" s="206"/>
      <c r="L118" s="232"/>
      <c r="M118" s="173"/>
    </row>
    <row r="119" spans="1:13" ht="17.25">
      <c r="A119" s="186"/>
      <c r="B119" s="193" t="s">
        <v>325</v>
      </c>
      <c r="C119" s="282">
        <v>9</v>
      </c>
      <c r="D119" s="193" t="s">
        <v>0</v>
      </c>
      <c r="E119" s="251" t="s">
        <v>286</v>
      </c>
      <c r="F119" s="251"/>
      <c r="G119" s="252"/>
      <c r="H119" s="253"/>
      <c r="I119" s="219"/>
      <c r="J119" s="186"/>
      <c r="K119" s="206"/>
      <c r="L119" s="232"/>
      <c r="M119" s="173"/>
    </row>
    <row r="120" spans="1:13" ht="16.5">
      <c r="A120" s="186"/>
      <c r="B120" s="193" t="s">
        <v>329</v>
      </c>
      <c r="C120" s="2">
        <v>1500</v>
      </c>
      <c r="D120" s="210" t="s">
        <v>282</v>
      </c>
      <c r="E120" s="246"/>
      <c r="F120" s="201"/>
      <c r="G120" s="248"/>
      <c r="H120" s="246"/>
      <c r="I120" s="249"/>
      <c r="J120" s="186"/>
      <c r="K120" s="206"/>
      <c r="L120" s="233"/>
      <c r="M120" s="171"/>
    </row>
    <row r="121" spans="1:13" ht="16.5">
      <c r="A121" s="186"/>
      <c r="B121" s="197" t="s">
        <v>328</v>
      </c>
      <c r="C121" s="168">
        <f>Rsy1*Vsypk/(Vco_normal-Vsypk)</f>
        <v>470.4545454545455</v>
      </c>
      <c r="D121" s="227" t="s">
        <v>282</v>
      </c>
      <c r="E121" s="246"/>
      <c r="F121" s="201"/>
      <c r="G121" s="248"/>
      <c r="H121" s="246"/>
      <c r="I121" s="249"/>
      <c r="J121" s="186"/>
      <c r="K121" s="206"/>
      <c r="L121" s="232"/>
      <c r="M121" s="171"/>
    </row>
    <row r="122" spans="1:13" ht="13.5">
      <c r="A122" s="186"/>
      <c r="B122" s="197" t="s">
        <v>326</v>
      </c>
      <c r="C122" s="258">
        <f>(Tq/3.14)^2/Lm*1000</f>
        <v>1.0434465613137103</v>
      </c>
      <c r="D122" s="227" t="s">
        <v>31</v>
      </c>
      <c r="E122" s="246" t="s">
        <v>330</v>
      </c>
      <c r="F122" s="201"/>
      <c r="G122" s="248"/>
      <c r="H122" s="246"/>
      <c r="I122" s="249"/>
      <c r="J122" s="201"/>
      <c r="K122" s="206"/>
      <c r="L122" s="234"/>
      <c r="M122" s="171"/>
    </row>
    <row r="123" spans="1:13" ht="16.5">
      <c r="A123" s="186"/>
      <c r="B123" s="197" t="s">
        <v>327</v>
      </c>
      <c r="C123" s="258">
        <f>TF/Rsy2/LN(Vsypk/2.6)*1000</f>
        <v>3.9372128406169935</v>
      </c>
      <c r="D123" s="227" t="s">
        <v>31</v>
      </c>
      <c r="F123" s="186"/>
      <c r="G123" s="248"/>
      <c r="H123" s="246"/>
      <c r="I123" s="201"/>
      <c r="J123" s="250"/>
      <c r="K123" s="206"/>
      <c r="L123" s="235"/>
      <c r="M123" s="171"/>
    </row>
    <row r="124" spans="1:13" ht="13.5">
      <c r="A124" s="186"/>
      <c r="J124" s="250"/>
      <c r="K124" s="206"/>
      <c r="L124" s="237"/>
      <c r="M124" s="171"/>
    </row>
    <row r="125" spans="1:13" ht="12" customHeight="1">
      <c r="A125" s="191" t="s">
        <v>334</v>
      </c>
      <c r="B125" s="191"/>
      <c r="C125" s="191"/>
      <c r="D125" s="191"/>
      <c r="E125" s="191"/>
      <c r="F125" s="191"/>
      <c r="G125" s="191"/>
      <c r="H125" s="191"/>
      <c r="I125" s="191"/>
      <c r="J125" s="214"/>
      <c r="K125" s="206"/>
      <c r="L125" s="237"/>
      <c r="M125" s="171"/>
    </row>
    <row r="126" spans="1:13" ht="17.25">
      <c r="A126" s="186"/>
      <c r="B126" s="241" t="s">
        <v>333</v>
      </c>
      <c r="C126" s="198">
        <f>Vo2_stby</f>
        <v>8</v>
      </c>
      <c r="D126" s="227" t="s">
        <v>0</v>
      </c>
      <c r="E126" s="251"/>
      <c r="F126" s="251"/>
      <c r="G126" s="252"/>
      <c r="H126" s="253"/>
      <c r="I126" s="219"/>
      <c r="J126" s="186"/>
      <c r="K126" s="206"/>
      <c r="L126" s="237"/>
      <c r="M126" s="171"/>
    </row>
    <row r="127" spans="1:13" ht="13.5">
      <c r="A127" s="186"/>
      <c r="B127" s="241" t="s">
        <v>332</v>
      </c>
      <c r="C127" s="198">
        <f>Vo2_stby-3</f>
        <v>5</v>
      </c>
      <c r="D127" s="227" t="s">
        <v>0</v>
      </c>
      <c r="E127" s="246"/>
      <c r="F127" s="201"/>
      <c r="G127" s="201"/>
      <c r="H127" s="246"/>
      <c r="I127" s="249"/>
      <c r="J127" s="186"/>
      <c r="K127" s="206"/>
      <c r="L127" s="237"/>
      <c r="M127" s="171"/>
    </row>
    <row r="128" spans="1:13" ht="13.5">
      <c r="A128" s="186"/>
      <c r="E128" s="246"/>
      <c r="F128" s="201"/>
      <c r="G128" s="248"/>
      <c r="H128" s="246"/>
      <c r="I128" s="249"/>
      <c r="J128" s="186"/>
      <c r="K128" s="206"/>
      <c r="L128" s="237"/>
      <c r="M128" s="171"/>
    </row>
    <row r="129" spans="1:13" ht="13.5">
      <c r="A129" s="191" t="s">
        <v>335</v>
      </c>
      <c r="B129" s="191"/>
      <c r="C129" s="191"/>
      <c r="D129" s="191"/>
      <c r="E129" s="191"/>
      <c r="F129" s="191"/>
      <c r="G129" s="191"/>
      <c r="H129" s="191"/>
      <c r="I129" s="191"/>
      <c r="L129" s="237"/>
      <c r="M129" s="171"/>
    </row>
    <row r="130" spans="2:13" ht="13.5">
      <c r="B130" s="269" t="s">
        <v>336</v>
      </c>
      <c r="C130" s="224">
        <f>Ilim*(Vo1^2/Po)/2.5*Np/Ns1*Vdc_min/(Vdc_min+2*VRO)/2</f>
        <v>49.94168418016346</v>
      </c>
      <c r="D130" s="270"/>
      <c r="E130" s="186"/>
      <c r="F130" s="186"/>
      <c r="G130" s="271"/>
      <c r="H130" s="271"/>
      <c r="I130" s="271"/>
      <c r="K130" s="206"/>
      <c r="L130" s="237"/>
      <c r="M130" s="171"/>
    </row>
    <row r="131" spans="1:13" ht="16.5">
      <c r="A131" s="186"/>
      <c r="B131" s="269" t="s">
        <v>362</v>
      </c>
      <c r="C131" s="226">
        <f>1/(Rc_1*Co_1)*10^6</f>
        <v>100</v>
      </c>
      <c r="D131" s="197" t="s">
        <v>360</v>
      </c>
      <c r="E131" s="197"/>
      <c r="F131" s="239" t="s">
        <v>356</v>
      </c>
      <c r="G131" s="285">
        <f>C131/2/3.14*1000</f>
        <v>15923.566878980891</v>
      </c>
      <c r="H131" s="285"/>
      <c r="I131" s="197" t="s">
        <v>357</v>
      </c>
      <c r="J131" s="271"/>
      <c r="K131" s="206"/>
      <c r="L131" s="237"/>
      <c r="M131" s="171"/>
    </row>
    <row r="132" spans="1:13" ht="16.5">
      <c r="A132" s="186"/>
      <c r="B132" s="269" t="s">
        <v>338</v>
      </c>
      <c r="C132" s="226">
        <f>Vo1^2/Po/Lm/Dmax*(1-Dmax)^2*(Np/Ns1)^2*1000</f>
        <v>135.9631025582495</v>
      </c>
      <c r="D132" s="197" t="s">
        <v>360</v>
      </c>
      <c r="E132" s="186"/>
      <c r="F132" s="239" t="s">
        <v>358</v>
      </c>
      <c r="G132" s="285">
        <f>C132/2/3.14*1000</f>
        <v>21650.175566600235</v>
      </c>
      <c r="H132" s="285"/>
      <c r="I132" s="197" t="s">
        <v>357</v>
      </c>
      <c r="J132" s="186"/>
      <c r="K132" s="206"/>
      <c r="L132" s="237"/>
      <c r="M132" s="171"/>
    </row>
    <row r="133" spans="1:13" ht="16.5">
      <c r="A133" s="186"/>
      <c r="B133" s="269" t="s">
        <v>339</v>
      </c>
      <c r="C133" s="224">
        <f>1/(Vo1^2/Po*Co_1)*10^6*(1+Dmax)</f>
        <v>82.23589321611466</v>
      </c>
      <c r="D133" s="197" t="s">
        <v>337</v>
      </c>
      <c r="E133" s="186"/>
      <c r="F133" s="239" t="s">
        <v>340</v>
      </c>
      <c r="G133" s="285">
        <f>C133/3.14/2</f>
        <v>13.094887454795328</v>
      </c>
      <c r="H133" s="285"/>
      <c r="I133" s="197" t="s">
        <v>1</v>
      </c>
      <c r="J133" s="186"/>
      <c r="K133" s="206"/>
      <c r="L133" s="237"/>
      <c r="M133" s="171"/>
    </row>
    <row r="134" spans="1:13" ht="13.5">
      <c r="A134" s="186"/>
      <c r="B134" s="186"/>
      <c r="C134" s="186"/>
      <c r="D134" s="186"/>
      <c r="E134" s="194"/>
      <c r="F134" s="194"/>
      <c r="G134" s="186"/>
      <c r="H134" s="186"/>
      <c r="I134" s="186"/>
      <c r="J134" s="186"/>
      <c r="K134" s="206"/>
      <c r="L134" s="237"/>
      <c r="M134" s="171"/>
    </row>
    <row r="135" spans="1:13" ht="16.5">
      <c r="A135" s="186"/>
      <c r="B135" s="193" t="s">
        <v>341</v>
      </c>
      <c r="C135" s="2">
        <v>100</v>
      </c>
      <c r="D135" s="193" t="s">
        <v>342</v>
      </c>
      <c r="E135" s="186"/>
      <c r="F135" s="186"/>
      <c r="G135" s="186"/>
      <c r="H135" s="186"/>
      <c r="I135" s="186"/>
      <c r="J135" s="186"/>
      <c r="K135" s="206"/>
      <c r="L135" s="237"/>
      <c r="M135" s="171"/>
    </row>
    <row r="136" spans="1:13" ht="16.5">
      <c r="A136" s="186"/>
      <c r="B136" s="269" t="s">
        <v>343</v>
      </c>
      <c r="C136" s="226">
        <f>2.5*R_1/(Vo1-2.5)</f>
        <v>2.0408163265306123</v>
      </c>
      <c r="D136" s="197" t="s">
        <v>359</v>
      </c>
      <c r="E136" s="186"/>
      <c r="F136" s="186"/>
      <c r="G136" s="186"/>
      <c r="H136" s="186"/>
      <c r="I136" s="186"/>
      <c r="J136" s="186"/>
      <c r="K136" s="206"/>
      <c r="L136" s="237"/>
      <c r="M136" s="171"/>
    </row>
    <row r="137" spans="1:13" ht="16.5">
      <c r="A137" s="186"/>
      <c r="B137" s="193" t="s">
        <v>344</v>
      </c>
      <c r="C137" s="2">
        <v>1</v>
      </c>
      <c r="D137" s="193" t="s">
        <v>345</v>
      </c>
      <c r="E137" s="272"/>
      <c r="F137" s="187"/>
      <c r="G137" s="187"/>
      <c r="H137" s="186"/>
      <c r="I137" s="186"/>
      <c r="J137" s="186"/>
      <c r="K137" s="206"/>
      <c r="L137" s="237"/>
      <c r="M137" s="171"/>
    </row>
    <row r="138" spans="1:13" ht="16.5">
      <c r="A138" s="186"/>
      <c r="B138" s="193" t="s">
        <v>346</v>
      </c>
      <c r="C138" s="2">
        <v>1.2</v>
      </c>
      <c r="D138" s="193" t="s">
        <v>345</v>
      </c>
      <c r="E138" s="273"/>
      <c r="F138" s="187"/>
      <c r="G138" s="187"/>
      <c r="H138" s="186"/>
      <c r="I138" s="186"/>
      <c r="J138" s="186"/>
      <c r="K138" s="206"/>
      <c r="L138" s="237"/>
      <c r="M138" s="171"/>
    </row>
    <row r="139" spans="1:13" ht="16.5">
      <c r="A139" s="186"/>
      <c r="B139" s="236" t="s">
        <v>347</v>
      </c>
      <c r="C139" s="2">
        <v>47</v>
      </c>
      <c r="D139" s="236" t="s">
        <v>31</v>
      </c>
      <c r="E139" s="186"/>
      <c r="F139" s="186"/>
      <c r="G139" s="186"/>
      <c r="H139" s="186"/>
      <c r="I139" s="186"/>
      <c r="J139" s="186"/>
      <c r="K139" s="206"/>
      <c r="L139" s="237"/>
      <c r="M139" s="171"/>
    </row>
    <row r="140" spans="1:12" ht="16.5">
      <c r="A140" s="186"/>
      <c r="B140" s="236" t="s">
        <v>348</v>
      </c>
      <c r="C140" s="2">
        <v>22</v>
      </c>
      <c r="D140" s="236" t="s">
        <v>31</v>
      </c>
      <c r="E140" s="186"/>
      <c r="F140" s="186"/>
      <c r="G140" s="186"/>
      <c r="H140" s="186"/>
      <c r="I140" s="186"/>
      <c r="J140" s="186"/>
      <c r="K140" s="206"/>
      <c r="L140" s="237"/>
    </row>
    <row r="141" spans="1:12" ht="16.5">
      <c r="A141" s="186"/>
      <c r="B141" s="236" t="s">
        <v>349</v>
      </c>
      <c r="C141" s="2">
        <v>39</v>
      </c>
      <c r="D141" s="236" t="s">
        <v>342</v>
      </c>
      <c r="E141" s="186"/>
      <c r="F141" s="186"/>
      <c r="G141" s="186"/>
      <c r="H141" s="186"/>
      <c r="I141" s="186"/>
      <c r="J141" s="186"/>
      <c r="K141" s="206"/>
      <c r="L141" s="237"/>
    </row>
    <row r="142" spans="1:12" ht="13.5">
      <c r="A142" s="186"/>
      <c r="B142" s="236" t="s">
        <v>361</v>
      </c>
      <c r="C142" s="2">
        <v>100</v>
      </c>
      <c r="D142" s="236" t="s">
        <v>3</v>
      </c>
      <c r="E142" s="186"/>
      <c r="F142" s="186"/>
      <c r="G142" s="186"/>
      <c r="H142" s="186"/>
      <c r="I142" s="186"/>
      <c r="J142" s="186"/>
      <c r="K142" s="186"/>
      <c r="L142" s="237"/>
    </row>
    <row r="143" spans="11:12" ht="13.5">
      <c r="K143" s="206"/>
      <c r="L143" s="237"/>
    </row>
    <row r="144" spans="1:13" ht="16.5">
      <c r="A144" s="186"/>
      <c r="B144" s="197" t="s">
        <v>350</v>
      </c>
      <c r="C144" s="274">
        <f>2.8*CTR/(R_1*RD*CF)*1000000</f>
        <v>1272.7272727272725</v>
      </c>
      <c r="D144" s="197" t="s">
        <v>337</v>
      </c>
      <c r="E144" s="194"/>
      <c r="F144" s="239" t="s">
        <v>351</v>
      </c>
      <c r="G144" s="283">
        <f>C144/2/3.14</f>
        <v>202.66357845975676</v>
      </c>
      <c r="H144" s="283"/>
      <c r="I144" s="197" t="s">
        <v>1</v>
      </c>
      <c r="J144" s="186"/>
      <c r="K144" s="206"/>
      <c r="L144" s="271"/>
      <c r="M144" s="276"/>
    </row>
    <row r="145" spans="1:12" ht="16.5">
      <c r="A145" s="186"/>
      <c r="B145" s="269" t="s">
        <v>352</v>
      </c>
      <c r="C145" s="275">
        <f>1/(RF*CF)*1000000</f>
        <v>1165.5011655011656</v>
      </c>
      <c r="D145" s="197" t="s">
        <v>337</v>
      </c>
      <c r="E145" s="186"/>
      <c r="F145" s="239" t="s">
        <v>353</v>
      </c>
      <c r="G145" s="283">
        <f>C145/2/3.14</f>
        <v>185.58935756387987</v>
      </c>
      <c r="H145" s="283"/>
      <c r="I145" s="197" t="s">
        <v>1</v>
      </c>
      <c r="J145" s="186"/>
      <c r="K145" s="206"/>
      <c r="L145" s="271"/>
    </row>
    <row r="146" spans="1:12" ht="16.5">
      <c r="A146" s="186"/>
      <c r="B146" s="269" t="s">
        <v>354</v>
      </c>
      <c r="C146" s="275">
        <f>1/(2.8*CB)*1000000</f>
        <v>7598.784194528876</v>
      </c>
      <c r="D146" s="197" t="s">
        <v>337</v>
      </c>
      <c r="E146" s="186"/>
      <c r="F146" s="239" t="s">
        <v>355</v>
      </c>
      <c r="G146" s="283">
        <f>C146/2/3.14</f>
        <v>1209.9974832052349</v>
      </c>
      <c r="H146" s="283"/>
      <c r="I146" s="197" t="s">
        <v>1</v>
      </c>
      <c r="J146" s="186"/>
      <c r="K146" s="231"/>
      <c r="L146" s="271"/>
    </row>
    <row r="147" spans="1:12" ht="13.5">
      <c r="A147" s="194"/>
      <c r="B147" s="231"/>
      <c r="C147" s="231"/>
      <c r="D147" s="231"/>
      <c r="E147" s="231"/>
      <c r="F147" s="231"/>
      <c r="G147" s="231"/>
      <c r="H147" s="231"/>
      <c r="I147" s="231"/>
      <c r="J147" s="231"/>
      <c r="K147" s="231"/>
      <c r="L147" s="271"/>
    </row>
    <row r="148" spans="1:12" ht="13.5">
      <c r="A148" s="194"/>
      <c r="B148" s="231">
        <v>1.6</v>
      </c>
      <c r="C148" s="231">
        <f aca="true" t="shared" si="2" ref="C148:C153">20*LOG(k_1*SQRT(1+B148^2/fz_1^2)*SQRT(1+B148^2/fzr^2)/SQRT(1+B148^2/fp_1^2))</f>
        <v>33.904906287381166</v>
      </c>
      <c r="D148" s="231">
        <f>20*LOG(fi/B148*SQRT(1+B148^2/fz^2)/SQRT(1+B148^2/fp^2))</f>
        <v>42.053429665380115</v>
      </c>
      <c r="E148" s="231">
        <f>SUM(C148:D148)</f>
        <v>75.95833595276127</v>
      </c>
      <c r="F148" s="231"/>
      <c r="G148" s="231">
        <v>1.6</v>
      </c>
      <c r="H148" s="231">
        <f>180/3.14*(ATAN(G148/fz_1)-ATAN(G148/fzr)-ATAN(G148/fp_1))</f>
        <v>-6.9681702978328826</v>
      </c>
      <c r="I148" s="231">
        <f>180/3.14*(ATAN(G148/fz)-ATAN(G148/fp))-90</f>
        <v>-89.58160579924629</v>
      </c>
      <c r="J148" s="231">
        <f>SUM(H148:I148)</f>
        <v>-96.54977609707917</v>
      </c>
      <c r="K148" s="231"/>
      <c r="L148" s="271"/>
    </row>
    <row r="149" spans="1:12" ht="13.5">
      <c r="A149" s="194"/>
      <c r="B149" s="231">
        <v>2.5</v>
      </c>
      <c r="C149" s="231">
        <f t="shared" si="2"/>
        <v>33.813787689842194</v>
      </c>
      <c r="D149" s="231">
        <f>20*LOG(fi/B149*SQRT(1+B149^2/fz^2)/SQRT(1+B149^2/fp^2))</f>
        <v>38.17748340939395</v>
      </c>
      <c r="E149" s="231">
        <f>SUM(C149:D149)</f>
        <v>71.99127109923614</v>
      </c>
      <c r="F149" s="231"/>
      <c r="G149" s="231">
        <v>2.5</v>
      </c>
      <c r="H149" s="231">
        <f>180/3.14*(ATAN(G149/fz_1)-ATAN(G149/fzr)-ATAN(G149/fp_1))</f>
        <v>-10.811615211869954</v>
      </c>
      <c r="I149" s="231">
        <f>180/3.14*(ATAN(G149/fz)-ATAN(G149/fp))-90</f>
        <v>-89.34628653342999</v>
      </c>
      <c r="J149" s="231">
        <f>SUM(H149:I149)</f>
        <v>-100.15790174529994</v>
      </c>
      <c r="K149" s="231"/>
      <c r="L149" s="271"/>
    </row>
    <row r="150" spans="1:12" ht="13.5">
      <c r="A150" s="194"/>
      <c r="B150" s="231">
        <v>4</v>
      </c>
      <c r="C150" s="231">
        <f t="shared" si="2"/>
        <v>33.581840922740746</v>
      </c>
      <c r="D150" s="231">
        <f>20*LOG(fi/B150*SQRT(1+B150^2/fz^2)/SQRT(1+B150^2/fp^2))</f>
        <v>34.096283808614864</v>
      </c>
      <c r="E150" s="231">
        <f>SUM(C150:D150)</f>
        <v>67.67812473135561</v>
      </c>
      <c r="F150" s="231"/>
      <c r="G150" s="231">
        <v>4</v>
      </c>
      <c r="H150" s="231">
        <f>180/3.14*(ATAN(G150/fz_1)-ATAN(G150/fzr)-ATAN(G150/fp_1))</f>
        <v>-16.99076515952294</v>
      </c>
      <c r="I150" s="231">
        <f>180/3.14*(ATAN(G150/fz)-ATAN(G150/fp))-90</f>
        <v>-88.95417456845382</v>
      </c>
      <c r="J150" s="231">
        <f>SUM(H150:I150)</f>
        <v>-105.94493972797676</v>
      </c>
      <c r="K150" s="231"/>
      <c r="L150" s="271"/>
    </row>
    <row r="151" spans="1:12" ht="13.5">
      <c r="A151" s="194"/>
      <c r="B151" s="231">
        <v>6.3</v>
      </c>
      <c r="C151" s="231">
        <f t="shared" si="2"/>
        <v>33.06505860338423</v>
      </c>
      <c r="D151" s="231">
        <f>20*LOG(fi/B151*SQRT(1+B151^2/fz^2)/SQRT(1+B151^2/fp^2))</f>
        <v>30.15358701810272</v>
      </c>
      <c r="E151" s="231">
        <f>SUM(C151:D151)</f>
        <v>63.21864562148695</v>
      </c>
      <c r="F151" s="231"/>
      <c r="G151" s="231">
        <v>6.3</v>
      </c>
      <c r="H151" s="231">
        <f>180/3.14*(ATAN(G151/fz_1)-ATAN(G151/fzr)-ATAN(G151/fp_1))</f>
        <v>-25.699416248361796</v>
      </c>
      <c r="I151" s="231">
        <f>180/3.14*(ATAN(G151/fz)-ATAN(G151/fp))-90</f>
        <v>-88.35326903989679</v>
      </c>
      <c r="J151" s="231">
        <f>SUM(H151:I151)</f>
        <v>-114.05268528825859</v>
      </c>
      <c r="K151" s="231"/>
      <c r="L151" s="271"/>
    </row>
    <row r="152" spans="1:12" ht="13.5">
      <c r="A152" s="194"/>
      <c r="B152" s="231">
        <v>10</v>
      </c>
      <c r="C152" s="231">
        <f t="shared" si="2"/>
        <v>31.973986067509582</v>
      </c>
      <c r="D152" s="231">
        <f>20*LOG(fi/B152*SQRT(1+B152^2/fz^2)/SQRT(1+B152^2/fp^2))</f>
        <v>26.147808175375943</v>
      </c>
      <c r="E152" s="231">
        <f>SUM(C152:D152)</f>
        <v>58.12179424288553</v>
      </c>
      <c r="F152" s="231"/>
      <c r="G152" s="231">
        <v>10</v>
      </c>
      <c r="H152" s="231">
        <f>180/3.14*(ATAN(G152/fz_1)-ATAN(G152/fzr)-ATAN(G152/fp_1))</f>
        <v>-37.37684050387195</v>
      </c>
      <c r="I152" s="231">
        <f>180/3.14*(ATAN(G152/fz)-ATAN(G152/fp))-90</f>
        <v>-87.38793326887952</v>
      </c>
      <c r="J152" s="231">
        <f>SUM(H152:I152)</f>
        <v>-124.76477377275147</v>
      </c>
      <c r="K152" s="231"/>
      <c r="L152" s="271"/>
    </row>
    <row r="153" spans="1:12" ht="13.5">
      <c r="A153" s="194"/>
      <c r="B153" s="231">
        <v>16</v>
      </c>
      <c r="C153" s="231">
        <f t="shared" si="2"/>
        <v>30.002187683229685</v>
      </c>
      <c r="D153" s="231">
        <f aca="true" t="shared" si="3" ref="D153:D167">20*LOG(fi/B153*SQRT(1+B153^2/fz^2)/SQRT(1+B153^2/fp^2))</f>
        <v>22.084514667070835</v>
      </c>
      <c r="E153" s="231">
        <f aca="true" t="shared" si="4" ref="E153:E167">SUM(C153:D153)</f>
        <v>52.08670235030052</v>
      </c>
      <c r="F153" s="231"/>
      <c r="G153" s="231">
        <v>16</v>
      </c>
      <c r="H153" s="231">
        <f aca="true" t="shared" si="5" ref="H153:H167">180/3.14*(ATAN(G153/fz_1)-ATAN(G153/fzr)-ATAN(G153/fp_1))</f>
        <v>-50.712541670740784</v>
      </c>
      <c r="I153" s="231">
        <f aca="true" t="shared" si="6" ref="I153:I167">180/3.14*(ATAN(G153/fz)-ATAN(G153/fp))-90</f>
        <v>-85.82808148322606</v>
      </c>
      <c r="J153" s="231">
        <f aca="true" t="shared" si="7" ref="J153:J167">SUM(H153:I153)</f>
        <v>-136.54062315396683</v>
      </c>
      <c r="K153" s="231"/>
      <c r="L153" s="271"/>
    </row>
    <row r="154" spans="1:12" ht="13.5">
      <c r="A154" s="194"/>
      <c r="B154" s="231">
        <v>25</v>
      </c>
      <c r="C154" s="231">
        <f aca="true" t="shared" si="8" ref="C154:C167">20*LOG(k_1*SQRT(1+B154^2/fz_1^2)*SQRT(1+B154^2/fzr^2)/SQRT(1+B154^2/fp_1^2))</f>
        <v>27.299588217686704</v>
      </c>
      <c r="D154" s="231">
        <f t="shared" si="3"/>
        <v>18.252959760635953</v>
      </c>
      <c r="E154" s="231">
        <f t="shared" si="4"/>
        <v>45.55254797832266</v>
      </c>
      <c r="F154" s="231"/>
      <c r="G154" s="231">
        <v>25</v>
      </c>
      <c r="H154" s="231">
        <f t="shared" si="5"/>
        <v>-62.36247689007916</v>
      </c>
      <c r="I154" s="231">
        <f t="shared" si="6"/>
        <v>-83.50843653718633</v>
      </c>
      <c r="J154" s="231">
        <f t="shared" si="7"/>
        <v>-145.8709134272655</v>
      </c>
      <c r="K154" s="231"/>
      <c r="L154" s="271"/>
    </row>
    <row r="155" spans="1:12" ht="13.5">
      <c r="A155" s="194"/>
      <c r="B155" s="231">
        <v>40</v>
      </c>
      <c r="C155" s="231">
        <f t="shared" si="8"/>
        <v>23.827988393200666</v>
      </c>
      <c r="D155" s="231">
        <f t="shared" si="3"/>
        <v>14.286768126091566</v>
      </c>
      <c r="E155" s="231">
        <f t="shared" si="4"/>
        <v>38.11475651929223</v>
      </c>
      <c r="F155" s="231"/>
      <c r="G155" s="231">
        <v>40</v>
      </c>
      <c r="H155" s="231">
        <f t="shared" si="5"/>
        <v>-71.87135892327149</v>
      </c>
      <c r="I155" s="231">
        <f t="shared" si="6"/>
        <v>-79.72530076134238</v>
      </c>
      <c r="J155" s="231">
        <f t="shared" si="7"/>
        <v>-151.59665968461388</v>
      </c>
      <c r="K155" s="231"/>
      <c r="L155" s="271"/>
    </row>
    <row r="156" spans="1:12" ht="13.5">
      <c r="A156" s="194"/>
      <c r="B156" s="231">
        <v>63</v>
      </c>
      <c r="C156" s="231">
        <f t="shared" si="8"/>
        <v>20.140901039321804</v>
      </c>
      <c r="D156" s="231">
        <f t="shared" si="3"/>
        <v>10.610599971120065</v>
      </c>
      <c r="E156" s="231">
        <f t="shared" si="4"/>
        <v>30.75150101044187</v>
      </c>
      <c r="F156" s="231"/>
      <c r="G156" s="231">
        <v>63</v>
      </c>
      <c r="H156" s="231">
        <f t="shared" si="5"/>
        <v>-78.23766469217317</v>
      </c>
      <c r="I156" s="231">
        <f t="shared" si="6"/>
        <v>-74.2222351798228</v>
      </c>
      <c r="J156" s="231">
        <f t="shared" si="7"/>
        <v>-152.45989987199596</v>
      </c>
      <c r="K156" s="231"/>
      <c r="L156" s="271"/>
    </row>
    <row r="157" spans="1:12" ht="13.5">
      <c r="A157" s="194"/>
      <c r="B157" s="231">
        <v>100</v>
      </c>
      <c r="C157" s="231">
        <f t="shared" si="8"/>
        <v>16.237723190603532</v>
      </c>
      <c r="D157" s="231">
        <f t="shared" si="3"/>
        <v>7.2129642898016275</v>
      </c>
      <c r="E157" s="231">
        <f t="shared" si="4"/>
        <v>23.450687480405158</v>
      </c>
      <c r="F157" s="231"/>
      <c r="G157" s="231">
        <v>100</v>
      </c>
      <c r="H157" s="231">
        <f t="shared" si="5"/>
        <v>-82.48627725581376</v>
      </c>
      <c r="I157" s="231">
        <f t="shared" si="6"/>
        <v>-66.39564215763777</v>
      </c>
      <c r="J157" s="231">
        <f t="shared" si="7"/>
        <v>-148.88191941345153</v>
      </c>
      <c r="K157" s="231"/>
      <c r="L157" s="271"/>
    </row>
    <row r="158" spans="1:12" ht="13.5">
      <c r="A158" s="194"/>
      <c r="B158" s="231">
        <v>160</v>
      </c>
      <c r="C158" s="231">
        <f t="shared" si="8"/>
        <v>12.200581783157071</v>
      </c>
      <c r="D158" s="231">
        <f t="shared" si="3"/>
        <v>4.391425494783324</v>
      </c>
      <c r="E158" s="231">
        <f t="shared" si="4"/>
        <v>16.592007277940397</v>
      </c>
      <c r="F158" s="231"/>
      <c r="G158" s="231">
        <v>160</v>
      </c>
      <c r="H158" s="231">
        <f t="shared" si="5"/>
        <v>-85.21209912527452</v>
      </c>
      <c r="I158" s="231">
        <f t="shared" si="6"/>
        <v>-56.750530808589524</v>
      </c>
      <c r="J158" s="231">
        <f t="shared" si="7"/>
        <v>-141.96262993386404</v>
      </c>
      <c r="K158" s="231"/>
      <c r="L158" s="271"/>
    </row>
    <row r="159" spans="1:12" ht="13.5">
      <c r="A159" s="194"/>
      <c r="B159" s="231">
        <v>250</v>
      </c>
      <c r="C159" s="231">
        <f t="shared" si="8"/>
        <v>8.3422492527227</v>
      </c>
      <c r="D159" s="231">
        <f t="shared" si="3"/>
        <v>2.489289584396722</v>
      </c>
      <c r="E159" s="231">
        <f t="shared" si="4"/>
        <v>10.831538837119423</v>
      </c>
      <c r="F159" s="231"/>
      <c r="G159" s="231">
        <v>250</v>
      </c>
      <c r="H159" s="231">
        <f t="shared" si="5"/>
        <v>-86.80773029450467</v>
      </c>
      <c r="I159" s="231">
        <f t="shared" si="6"/>
        <v>-48.241184363911906</v>
      </c>
      <c r="J159" s="231">
        <f t="shared" si="7"/>
        <v>-135.04891465841658</v>
      </c>
      <c r="K159" s="231"/>
      <c r="L159" s="271"/>
    </row>
    <row r="160" spans="1:12" ht="13.5">
      <c r="A160" s="194"/>
      <c r="B160" s="231">
        <v>400</v>
      </c>
      <c r="C160" s="231">
        <f t="shared" si="8"/>
        <v>4.269669102225506</v>
      </c>
      <c r="D160" s="231">
        <f t="shared" si="3"/>
        <v>1.160763183680544</v>
      </c>
      <c r="E160" s="231">
        <f t="shared" si="4"/>
        <v>5.43043228590605</v>
      </c>
      <c r="F160" s="231"/>
      <c r="G160" s="231">
        <v>400</v>
      </c>
      <c r="H160" s="231">
        <f t="shared" si="5"/>
        <v>-87.78895661022743</v>
      </c>
      <c r="I160" s="231">
        <f t="shared" si="6"/>
        <v>-43.159110899333506</v>
      </c>
      <c r="J160" s="231">
        <f t="shared" si="7"/>
        <v>-130.94806750956093</v>
      </c>
      <c r="K160" s="231"/>
      <c r="L160" s="271"/>
    </row>
    <row r="161" spans="1:12" ht="13.5">
      <c r="A161" s="194"/>
      <c r="B161" s="231">
        <v>630</v>
      </c>
      <c r="C161" s="231">
        <f t="shared" si="8"/>
        <v>0.3330807782803757</v>
      </c>
      <c r="D161" s="231">
        <f t="shared" si="3"/>
        <v>0.08411326997391429</v>
      </c>
      <c r="E161" s="231">
        <f t="shared" si="4"/>
        <v>0.41719404825428996</v>
      </c>
      <c r="F161" s="231"/>
      <c r="G161" s="231">
        <v>630</v>
      </c>
      <c r="H161" s="231">
        <f t="shared" si="5"/>
        <v>-88.25510463761108</v>
      </c>
      <c r="I161" s="231">
        <f t="shared" si="6"/>
        <v>-43.89516794531383</v>
      </c>
      <c r="J161" s="231">
        <f t="shared" si="7"/>
        <v>-132.1502725829249</v>
      </c>
      <c r="K161" s="231"/>
      <c r="L161" s="271"/>
    </row>
    <row r="162" spans="1:12" ht="13.5">
      <c r="A162" s="194"/>
      <c r="B162" s="231">
        <v>1000</v>
      </c>
      <c r="C162" s="231">
        <f t="shared" si="8"/>
        <v>-3.6630958984268513</v>
      </c>
      <c r="D162" s="231">
        <f t="shared" si="3"/>
        <v>-1.349363074503884</v>
      </c>
      <c r="E162" s="231">
        <f t="shared" si="4"/>
        <v>-5.012458972930736</v>
      </c>
      <c r="F162" s="231"/>
      <c r="G162" s="231">
        <v>1000</v>
      </c>
      <c r="H162" s="231">
        <f t="shared" si="5"/>
        <v>-88.34564795254168</v>
      </c>
      <c r="I162" s="231">
        <f t="shared" si="6"/>
        <v>-50.06558123181004</v>
      </c>
      <c r="J162" s="231">
        <f t="shared" si="7"/>
        <v>-138.41122918435173</v>
      </c>
      <c r="K162" s="231"/>
      <c r="L162" s="271"/>
    </row>
    <row r="163" spans="1:12" ht="13.5">
      <c r="A163" s="194"/>
      <c r="B163" s="231">
        <v>1600</v>
      </c>
      <c r="C163" s="231">
        <f t="shared" si="8"/>
        <v>-7.704109220923732</v>
      </c>
      <c r="D163" s="231">
        <f t="shared" si="3"/>
        <v>-3.5684965955935666</v>
      </c>
      <c r="E163" s="231">
        <f t="shared" si="4"/>
        <v>-11.272605816517299</v>
      </c>
      <c r="F163" s="231"/>
      <c r="G163" s="231">
        <v>1600</v>
      </c>
      <c r="H163" s="231">
        <f t="shared" si="5"/>
        <v>-88.06452011774216</v>
      </c>
      <c r="I163" s="231">
        <f t="shared" si="6"/>
        <v>-59.50256422890796</v>
      </c>
      <c r="J163" s="231">
        <f t="shared" si="7"/>
        <v>-147.56708434665012</v>
      </c>
      <c r="K163" s="231"/>
      <c r="L163" s="271"/>
    </row>
    <row r="164" spans="1:12" ht="13.5">
      <c r="A164" s="194"/>
      <c r="B164" s="231">
        <v>2500</v>
      </c>
      <c r="C164" s="231">
        <f t="shared" si="8"/>
        <v>-11.484343322646193</v>
      </c>
      <c r="D164" s="231">
        <f t="shared" si="3"/>
        <v>-6.428839083485094</v>
      </c>
      <c r="E164" s="231">
        <f t="shared" si="4"/>
        <v>-17.913182406131288</v>
      </c>
      <c r="F164" s="231"/>
      <c r="G164" s="231">
        <v>2500</v>
      </c>
      <c r="H164" s="231">
        <f t="shared" si="5"/>
        <v>-87.40851448755555</v>
      </c>
      <c r="I164" s="231">
        <f t="shared" si="6"/>
        <v>-68.40772533621471</v>
      </c>
      <c r="J164" s="231">
        <f t="shared" si="7"/>
        <v>-155.81623982377027</v>
      </c>
      <c r="K164" s="231"/>
      <c r="L164" s="271"/>
    </row>
    <row r="165" spans="1:12" ht="13.5">
      <c r="A165" s="194"/>
      <c r="B165" s="231">
        <v>4000</v>
      </c>
      <c r="C165" s="231">
        <f t="shared" si="8"/>
        <v>-15.318428768499468</v>
      </c>
      <c r="D165" s="231">
        <f t="shared" si="3"/>
        <v>-9.991979407588373</v>
      </c>
      <c r="E165" s="231">
        <f t="shared" si="4"/>
        <v>-25.31040817608784</v>
      </c>
      <c r="F165" s="231"/>
      <c r="G165" s="231">
        <v>4000</v>
      </c>
      <c r="H165" s="231">
        <f t="shared" si="5"/>
        <v>-86.22290629996931</v>
      </c>
      <c r="I165" s="231">
        <f t="shared" si="6"/>
        <v>-75.8187443699801</v>
      </c>
      <c r="J165" s="231">
        <f t="shared" si="7"/>
        <v>-162.0416506699494</v>
      </c>
      <c r="K165" s="231"/>
      <c r="L165" s="271"/>
    </row>
    <row r="166" spans="1:12" ht="13.5">
      <c r="A166" s="194"/>
      <c r="B166" s="231">
        <v>6300</v>
      </c>
      <c r="C166" s="231">
        <f t="shared" si="8"/>
        <v>-18.69095916639195</v>
      </c>
      <c r="D166" s="231">
        <f t="shared" si="3"/>
        <v>-13.72022111558296</v>
      </c>
      <c r="E166" s="231">
        <f t="shared" si="4"/>
        <v>-32.41118028197491</v>
      </c>
      <c r="F166" s="231"/>
      <c r="G166" s="231">
        <v>6300</v>
      </c>
      <c r="H166" s="231">
        <f t="shared" si="5"/>
        <v>-84.56254954109346</v>
      </c>
      <c r="I166" s="231">
        <f t="shared" si="6"/>
        <v>-80.8106967735692</v>
      </c>
      <c r="J166" s="231">
        <f t="shared" si="7"/>
        <v>-165.37324631466265</v>
      </c>
      <c r="K166" s="231"/>
      <c r="L166" s="177"/>
    </row>
    <row r="167" spans="1:11" ht="13.5">
      <c r="A167" s="194"/>
      <c r="B167" s="231">
        <v>10000</v>
      </c>
      <c r="C167" s="231">
        <f t="shared" si="8"/>
        <v>-21.40505075222151</v>
      </c>
      <c r="D167" s="231">
        <f t="shared" si="3"/>
        <v>-17.64148610623885</v>
      </c>
      <c r="E167" s="231">
        <f t="shared" si="4"/>
        <v>-39.04653685846036</v>
      </c>
      <c r="F167" s="231"/>
      <c r="G167" s="231">
        <v>10000</v>
      </c>
      <c r="H167" s="231">
        <f t="shared" si="5"/>
        <v>-82.62978451454683</v>
      </c>
      <c r="I167" s="231">
        <f t="shared" si="6"/>
        <v>-84.16103158981247</v>
      </c>
      <c r="J167" s="231">
        <f t="shared" si="7"/>
        <v>-166.7908161043593</v>
      </c>
      <c r="K167" s="231"/>
    </row>
    <row r="168" spans="1:11" ht="13.5">
      <c r="A168" s="194"/>
      <c r="B168" s="231"/>
      <c r="C168" s="231"/>
      <c r="D168" s="231"/>
      <c r="E168" s="231"/>
      <c r="F168" s="231"/>
      <c r="G168" s="231"/>
      <c r="H168" s="231"/>
      <c r="I168" s="231"/>
      <c r="J168" s="231"/>
      <c r="K168" s="231"/>
    </row>
    <row r="169" spans="1:11" ht="13.5">
      <c r="A169" s="194"/>
      <c r="B169" s="276"/>
      <c r="C169" s="276"/>
      <c r="D169" s="276"/>
      <c r="E169" s="276"/>
      <c r="F169" s="276"/>
      <c r="G169" s="276"/>
      <c r="H169" s="276"/>
      <c r="I169" s="276"/>
      <c r="J169" s="276"/>
      <c r="K169" s="206"/>
    </row>
    <row r="170" spans="1:11" ht="13.5">
      <c r="A170" s="186"/>
      <c r="B170" s="276"/>
      <c r="C170" s="276"/>
      <c r="D170" s="276"/>
      <c r="E170" s="276"/>
      <c r="F170" s="276"/>
      <c r="G170" s="276"/>
      <c r="H170" s="276"/>
      <c r="I170" s="276"/>
      <c r="J170" s="276"/>
      <c r="K170" s="206"/>
    </row>
    <row r="171" spans="1:11" ht="13.5">
      <c r="A171" s="186"/>
      <c r="B171" s="276"/>
      <c r="C171" s="276"/>
      <c r="D171" s="276"/>
      <c r="E171" s="276"/>
      <c r="F171" s="276"/>
      <c r="G171" s="276"/>
      <c r="H171" s="276"/>
      <c r="I171" s="276"/>
      <c r="J171" s="276"/>
      <c r="K171" s="206"/>
    </row>
    <row r="172" spans="1:11" ht="13.5">
      <c r="A172" s="186"/>
      <c r="B172" s="276"/>
      <c r="C172" s="276"/>
      <c r="D172" s="276"/>
      <c r="E172" s="276"/>
      <c r="F172" s="276"/>
      <c r="G172" s="276"/>
      <c r="H172" s="276"/>
      <c r="I172" s="276"/>
      <c r="J172" s="276"/>
      <c r="K172" s="206"/>
    </row>
    <row r="173" spans="1:11" ht="13.5">
      <c r="A173" s="201"/>
      <c r="B173" s="186"/>
      <c r="C173" s="186"/>
      <c r="D173" s="186"/>
      <c r="E173" s="186"/>
      <c r="F173" s="201"/>
      <c r="G173" s="201"/>
      <c r="H173" s="201"/>
      <c r="I173" s="201"/>
      <c r="J173" s="201"/>
      <c r="K173" s="186"/>
    </row>
    <row r="174" spans="1:11" ht="13.5">
      <c r="A174" s="221"/>
      <c r="B174" s="186"/>
      <c r="C174" s="186"/>
      <c r="D174" s="186"/>
      <c r="E174" s="186"/>
      <c r="F174" s="221"/>
      <c r="G174" s="221"/>
      <c r="H174" s="221"/>
      <c r="I174" s="221"/>
      <c r="J174" s="231"/>
      <c r="K174" s="186"/>
    </row>
    <row r="175" spans="1:11" ht="13.5">
      <c r="A175" s="186"/>
      <c r="B175" s="186"/>
      <c r="C175" s="186"/>
      <c r="D175" s="186"/>
      <c r="E175" s="186"/>
      <c r="F175" s="186"/>
      <c r="G175" s="186"/>
      <c r="H175" s="186"/>
      <c r="I175" s="186"/>
      <c r="J175" s="186"/>
      <c r="K175" s="186"/>
    </row>
    <row r="176" spans="1:11" ht="13.5">
      <c r="A176" s="186"/>
      <c r="B176" s="186"/>
      <c r="C176" s="186"/>
      <c r="D176" s="186"/>
      <c r="E176" s="186"/>
      <c r="F176" s="186"/>
      <c r="G176" s="186"/>
      <c r="H176" s="186"/>
      <c r="I176" s="186"/>
      <c r="J176" s="186"/>
      <c r="K176" s="186"/>
    </row>
    <row r="183" spans="1:9" ht="13.5">
      <c r="A183" s="172"/>
      <c r="B183" s="172"/>
      <c r="C183" s="172"/>
      <c r="D183" s="172"/>
      <c r="E183" s="172"/>
      <c r="F183" s="172"/>
      <c r="G183" s="172"/>
      <c r="H183" s="172"/>
      <c r="I183" s="172"/>
    </row>
    <row r="184" spans="1:9" ht="13.5">
      <c r="A184" s="172"/>
      <c r="B184" s="172"/>
      <c r="C184" s="172"/>
      <c r="D184" s="172"/>
      <c r="E184" s="172"/>
      <c r="F184" s="172"/>
      <c r="G184" s="172"/>
      <c r="H184" s="172"/>
      <c r="I184" s="172"/>
    </row>
    <row r="185" spans="1:9" ht="13.5">
      <c r="A185" s="172"/>
      <c r="B185" s="172"/>
      <c r="C185" s="172"/>
      <c r="D185" s="172"/>
      <c r="E185" s="172"/>
      <c r="F185" s="172"/>
      <c r="G185" s="172"/>
      <c r="H185" s="172"/>
      <c r="I185" s="172"/>
    </row>
    <row r="186" spans="1:9" ht="13.5">
      <c r="A186" s="172"/>
      <c r="B186" s="172"/>
      <c r="C186" s="172"/>
      <c r="D186" s="172"/>
      <c r="E186" s="172"/>
      <c r="F186" s="172"/>
      <c r="G186" s="172"/>
      <c r="H186" s="172"/>
      <c r="I186" s="172"/>
    </row>
    <row r="187" spans="1:9" ht="13.5">
      <c r="A187" s="172"/>
      <c r="B187" s="1"/>
      <c r="C187" s="1"/>
      <c r="D187" s="178"/>
      <c r="E187" s="172"/>
      <c r="F187" s="172"/>
      <c r="G187" s="172"/>
      <c r="H187" s="172"/>
      <c r="I187" s="172"/>
    </row>
    <row r="188" spans="1:9" ht="13.5">
      <c r="A188" s="172"/>
      <c r="B188" s="1"/>
      <c r="C188" s="1"/>
      <c r="D188" s="178"/>
      <c r="E188" s="172"/>
      <c r="F188" s="172"/>
      <c r="G188" s="172"/>
      <c r="H188" s="172"/>
      <c r="I188" s="172"/>
    </row>
    <row r="189" spans="1:9" ht="13.5">
      <c r="A189" s="172"/>
      <c r="B189" s="1"/>
      <c r="C189" s="1"/>
      <c r="D189" s="178"/>
      <c r="E189" s="172"/>
      <c r="F189" s="172"/>
      <c r="G189" s="172"/>
      <c r="H189" s="172"/>
      <c r="I189" s="172"/>
    </row>
    <row r="190" spans="1:9" ht="13.5">
      <c r="A190" s="172"/>
      <c r="B190" s="1"/>
      <c r="C190" s="1"/>
      <c r="D190" s="178"/>
      <c r="E190" s="172"/>
      <c r="F190" s="172"/>
      <c r="G190" s="172"/>
      <c r="H190" s="172"/>
      <c r="I190" s="172"/>
    </row>
    <row r="191" spans="1:9" ht="13.5">
      <c r="A191" s="172"/>
      <c r="B191" s="1"/>
      <c r="C191" s="1"/>
      <c r="D191" s="178"/>
      <c r="E191" s="172"/>
      <c r="F191" s="172"/>
      <c r="G191" s="172"/>
      <c r="H191" s="172"/>
      <c r="I191" s="172"/>
    </row>
    <row r="192" spans="1:9" ht="13.5">
      <c r="A192" s="172"/>
      <c r="B192" s="1"/>
      <c r="C192" s="1"/>
      <c r="D192" s="178"/>
      <c r="E192" s="172"/>
      <c r="F192" s="172"/>
      <c r="G192" s="172"/>
      <c r="H192" s="172"/>
      <c r="I192" s="172"/>
    </row>
    <row r="193" spans="1:9" ht="13.5">
      <c r="A193" s="172"/>
      <c r="B193" s="1"/>
      <c r="C193" s="1"/>
      <c r="D193" s="178"/>
      <c r="E193" s="172"/>
      <c r="F193" s="172"/>
      <c r="G193" s="172"/>
      <c r="H193" s="172"/>
      <c r="I193" s="172"/>
    </row>
    <row r="194" spans="1:9" ht="13.5">
      <c r="A194" s="172"/>
      <c r="B194" s="172"/>
      <c r="C194" s="172"/>
      <c r="D194" s="172"/>
      <c r="E194" s="172"/>
      <c r="F194" s="172"/>
      <c r="G194" s="172"/>
      <c r="H194" s="172"/>
      <c r="I194" s="172"/>
    </row>
    <row r="195" spans="1:9" ht="13.5">
      <c r="A195" s="172"/>
      <c r="B195" s="179"/>
      <c r="C195" s="180"/>
      <c r="D195" s="181"/>
      <c r="E195" s="172"/>
      <c r="F195" s="172"/>
      <c r="G195" s="172"/>
      <c r="H195" s="172"/>
      <c r="I195" s="172"/>
    </row>
    <row r="196" spans="1:9" ht="13.5">
      <c r="A196" s="172"/>
      <c r="B196" s="179"/>
      <c r="C196" s="179"/>
      <c r="D196" s="181"/>
      <c r="E196" s="172"/>
      <c r="F196" s="172"/>
      <c r="G196" s="172"/>
      <c r="H196" s="172"/>
      <c r="I196" s="172"/>
    </row>
    <row r="197" spans="1:9" ht="13.5">
      <c r="A197" s="172"/>
      <c r="B197" s="179"/>
      <c r="C197" s="179"/>
      <c r="D197" s="181"/>
      <c r="E197" s="172"/>
      <c r="F197" s="172"/>
      <c r="G197" s="172"/>
      <c r="H197" s="172"/>
      <c r="I197" s="172"/>
    </row>
    <row r="198" spans="1:9" ht="13.5">
      <c r="A198" s="172"/>
      <c r="B198" s="172"/>
      <c r="C198" s="172"/>
      <c r="D198" s="172"/>
      <c r="E198" s="172"/>
      <c r="F198" s="172"/>
      <c r="G198" s="172"/>
      <c r="H198" s="172"/>
      <c r="I198" s="172"/>
    </row>
    <row r="199" spans="1:10" ht="13.5">
      <c r="A199" s="172"/>
      <c r="B199" s="178"/>
      <c r="C199" s="178"/>
      <c r="D199" s="178"/>
      <c r="E199" s="178"/>
      <c r="F199" s="178"/>
      <c r="G199" s="178"/>
      <c r="H199" s="178"/>
      <c r="I199" s="178"/>
      <c r="J199" s="170"/>
    </row>
    <row r="200" spans="1:10" ht="13.5">
      <c r="A200" s="175"/>
      <c r="B200" s="175"/>
      <c r="C200" s="175"/>
      <c r="D200" s="175"/>
      <c r="E200" s="175"/>
      <c r="F200" s="175"/>
      <c r="G200" s="175"/>
      <c r="H200" s="175"/>
      <c r="I200" s="175"/>
      <c r="J200" s="170"/>
    </row>
    <row r="201" spans="1:10" ht="13.5">
      <c r="A201" s="175"/>
      <c r="B201" s="175"/>
      <c r="C201" s="175"/>
      <c r="D201" s="175"/>
      <c r="E201" s="175"/>
      <c r="F201" s="175"/>
      <c r="G201" s="175"/>
      <c r="H201" s="175"/>
      <c r="I201" s="175"/>
      <c r="J201" s="170"/>
    </row>
    <row r="202" spans="1:10" ht="13.5">
      <c r="A202" s="177"/>
      <c r="B202" s="177"/>
      <c r="C202" s="177"/>
      <c r="D202" s="175"/>
      <c r="E202" s="177"/>
      <c r="F202" s="177"/>
      <c r="G202" s="177"/>
      <c r="H202" s="177"/>
      <c r="I202" s="175"/>
      <c r="J202" s="170"/>
    </row>
    <row r="203" spans="1:10" ht="13.5">
      <c r="A203" s="177"/>
      <c r="B203" s="177"/>
      <c r="C203" s="177"/>
      <c r="D203" s="175"/>
      <c r="E203" s="177"/>
      <c r="F203" s="177"/>
      <c r="G203" s="177"/>
      <c r="H203" s="177"/>
      <c r="I203" s="175"/>
      <c r="J203" s="170"/>
    </row>
    <row r="204" spans="1:10" ht="13.5">
      <c r="A204" s="177"/>
      <c r="B204" s="177"/>
      <c r="C204" s="177"/>
      <c r="D204" s="175"/>
      <c r="E204" s="177"/>
      <c r="F204" s="177"/>
      <c r="G204" s="177"/>
      <c r="H204" s="177"/>
      <c r="I204" s="175"/>
      <c r="J204" s="170"/>
    </row>
    <row r="205" spans="1:10" ht="13.5">
      <c r="A205" s="177"/>
      <c r="B205" s="177"/>
      <c r="C205" s="177"/>
      <c r="D205" s="175"/>
      <c r="E205" s="177"/>
      <c r="F205" s="177"/>
      <c r="G205" s="177"/>
      <c r="H205" s="177"/>
      <c r="I205" s="175"/>
      <c r="J205" s="170"/>
    </row>
    <row r="206" spans="1:10" ht="13.5">
      <c r="A206" s="177"/>
      <c r="B206" s="177"/>
      <c r="C206" s="177"/>
      <c r="D206" s="175"/>
      <c r="E206" s="177"/>
      <c r="F206" s="177"/>
      <c r="G206" s="177"/>
      <c r="H206" s="177"/>
      <c r="I206" s="175"/>
      <c r="J206" s="170"/>
    </row>
    <row r="207" spans="1:10" ht="13.5">
      <c r="A207" s="177"/>
      <c r="B207" s="177"/>
      <c r="C207" s="177"/>
      <c r="D207" s="175"/>
      <c r="E207" s="177"/>
      <c r="F207" s="177"/>
      <c r="G207" s="177"/>
      <c r="H207" s="177"/>
      <c r="I207" s="175"/>
      <c r="J207" s="170"/>
    </row>
    <row r="208" spans="1:10" ht="13.5">
      <c r="A208" s="177"/>
      <c r="B208" s="177"/>
      <c r="C208" s="177"/>
      <c r="D208" s="175"/>
      <c r="E208" s="177"/>
      <c r="F208" s="177"/>
      <c r="G208" s="177"/>
      <c r="H208" s="177"/>
      <c r="I208" s="175"/>
      <c r="J208" s="170"/>
    </row>
    <row r="209" spans="1:10" ht="13.5">
      <c r="A209" s="177"/>
      <c r="B209" s="177"/>
      <c r="C209" s="177"/>
      <c r="D209" s="175"/>
      <c r="E209" s="177"/>
      <c r="F209" s="177"/>
      <c r="G209" s="177"/>
      <c r="H209" s="177"/>
      <c r="I209" s="175"/>
      <c r="J209" s="170"/>
    </row>
    <row r="210" spans="1:10" ht="13.5">
      <c r="A210" s="177"/>
      <c r="B210" s="177"/>
      <c r="C210" s="177"/>
      <c r="D210" s="175"/>
      <c r="E210" s="177"/>
      <c r="F210" s="177"/>
      <c r="G210" s="177"/>
      <c r="H210" s="177"/>
      <c r="I210" s="175"/>
      <c r="J210" s="170"/>
    </row>
    <row r="211" spans="1:10" ht="13.5">
      <c r="A211" s="177"/>
      <c r="B211" s="177"/>
      <c r="C211" s="177"/>
      <c r="D211" s="175"/>
      <c r="E211" s="177"/>
      <c r="F211" s="177"/>
      <c r="G211" s="177"/>
      <c r="H211" s="177"/>
      <c r="I211" s="175"/>
      <c r="J211" s="170"/>
    </row>
    <row r="212" spans="1:10" ht="13.5">
      <c r="A212" s="177"/>
      <c r="B212" s="177"/>
      <c r="C212" s="177"/>
      <c r="D212" s="175"/>
      <c r="E212" s="177"/>
      <c r="F212" s="177"/>
      <c r="G212" s="177"/>
      <c r="H212" s="177"/>
      <c r="I212" s="175"/>
      <c r="J212" s="170"/>
    </row>
    <row r="213" spans="1:10" ht="13.5">
      <c r="A213" s="177"/>
      <c r="B213" s="177"/>
      <c r="C213" s="177"/>
      <c r="D213" s="175"/>
      <c r="E213" s="177"/>
      <c r="F213" s="177"/>
      <c r="G213" s="177"/>
      <c r="H213" s="177"/>
      <c r="I213" s="175"/>
      <c r="J213" s="170"/>
    </row>
    <row r="214" spans="1:10" ht="13.5">
      <c r="A214" s="177"/>
      <c r="B214" s="177"/>
      <c r="C214" s="177"/>
      <c r="D214" s="175"/>
      <c r="E214" s="177"/>
      <c r="F214" s="177"/>
      <c r="G214" s="177"/>
      <c r="H214" s="177"/>
      <c r="I214" s="175"/>
      <c r="J214" s="170"/>
    </row>
    <row r="215" spans="1:10" ht="13.5">
      <c r="A215" s="177"/>
      <c r="B215" s="177"/>
      <c r="C215" s="177"/>
      <c r="D215" s="175"/>
      <c r="E215" s="177"/>
      <c r="F215" s="177"/>
      <c r="G215" s="177"/>
      <c r="H215" s="177"/>
      <c r="I215" s="175"/>
      <c r="J215" s="170"/>
    </row>
    <row r="216" spans="1:10" ht="13.5">
      <c r="A216" s="177"/>
      <c r="B216" s="177"/>
      <c r="C216" s="177"/>
      <c r="D216" s="175"/>
      <c r="E216" s="177"/>
      <c r="F216" s="177"/>
      <c r="G216" s="177"/>
      <c r="H216" s="177"/>
      <c r="I216" s="175"/>
      <c r="J216" s="170"/>
    </row>
    <row r="217" spans="1:10" ht="13.5">
      <c r="A217" s="177"/>
      <c r="B217" s="177"/>
      <c r="C217" s="177"/>
      <c r="D217" s="175"/>
      <c r="E217" s="177"/>
      <c r="F217" s="177"/>
      <c r="G217" s="177"/>
      <c r="H217" s="177"/>
      <c r="I217" s="175"/>
      <c r="J217" s="170"/>
    </row>
    <row r="218" spans="1:10" ht="13.5">
      <c r="A218" s="177"/>
      <c r="B218" s="177"/>
      <c r="C218" s="177"/>
      <c r="D218" s="175"/>
      <c r="E218" s="177"/>
      <c r="F218" s="177"/>
      <c r="G218" s="177"/>
      <c r="H218" s="177"/>
      <c r="I218" s="175"/>
      <c r="J218" s="170"/>
    </row>
    <row r="219" spans="1:10" ht="13.5">
      <c r="A219" s="177"/>
      <c r="B219" s="177"/>
      <c r="C219" s="177"/>
      <c r="D219" s="175"/>
      <c r="E219" s="177"/>
      <c r="F219" s="177"/>
      <c r="G219" s="177"/>
      <c r="H219" s="177"/>
      <c r="I219" s="175"/>
      <c r="J219" s="170"/>
    </row>
    <row r="220" spans="1:10" ht="13.5">
      <c r="A220" s="177"/>
      <c r="B220" s="177"/>
      <c r="C220" s="177"/>
      <c r="D220" s="175"/>
      <c r="E220" s="177"/>
      <c r="F220" s="177"/>
      <c r="G220" s="177"/>
      <c r="H220" s="177"/>
      <c r="I220" s="175"/>
      <c r="J220" s="170"/>
    </row>
    <row r="221" spans="1:10" ht="13.5">
      <c r="A221" s="177"/>
      <c r="B221" s="177"/>
      <c r="C221" s="177"/>
      <c r="D221" s="175"/>
      <c r="E221" s="177"/>
      <c r="F221" s="177"/>
      <c r="G221" s="177"/>
      <c r="H221" s="177"/>
      <c r="I221" s="175"/>
      <c r="J221" s="170"/>
    </row>
    <row r="222" spans="1:10" ht="13.5">
      <c r="A222" s="170"/>
      <c r="B222" s="170"/>
      <c r="C222" s="170"/>
      <c r="D222" s="170"/>
      <c r="E222" s="170"/>
      <c r="F222" s="170"/>
      <c r="G222" s="170"/>
      <c r="H222" s="170"/>
      <c r="I222" s="170"/>
      <c r="J222" s="170"/>
    </row>
    <row r="223" spans="2:10" ht="13.5">
      <c r="B223" s="170"/>
      <c r="C223" s="170"/>
      <c r="D223" s="170"/>
      <c r="E223" s="170"/>
      <c r="F223" s="170"/>
      <c r="G223" s="170"/>
      <c r="H223" s="170"/>
      <c r="I223" s="170"/>
      <c r="J223" s="170"/>
    </row>
    <row r="224" spans="3:9" ht="13.5">
      <c r="C224" s="170"/>
      <c r="D224" s="170"/>
      <c r="E224" s="170"/>
      <c r="F224" s="170"/>
      <c r="G224" s="170"/>
      <c r="H224" s="170"/>
      <c r="I224" s="170"/>
    </row>
    <row r="225" spans="3:9" ht="13.5">
      <c r="C225" s="170"/>
      <c r="D225" s="170"/>
      <c r="E225" s="170"/>
      <c r="F225" s="170"/>
      <c r="G225" s="170"/>
      <c r="H225" s="170"/>
      <c r="I225" s="170"/>
    </row>
    <row r="226" spans="3:9" ht="13.5">
      <c r="C226" s="170"/>
      <c r="D226" s="170"/>
      <c r="E226" s="170"/>
      <c r="F226" s="170"/>
      <c r="G226" s="170"/>
      <c r="H226" s="178"/>
      <c r="I226" s="170"/>
    </row>
    <row r="227" spans="3:9" ht="13.5">
      <c r="C227" s="170"/>
      <c r="D227" s="182"/>
      <c r="E227" s="182"/>
      <c r="F227" s="182"/>
      <c r="G227" s="182"/>
      <c r="H227" s="178"/>
      <c r="I227" s="170"/>
    </row>
    <row r="228" spans="3:9" ht="13.5">
      <c r="C228" s="170"/>
      <c r="D228" s="170"/>
      <c r="E228" s="170"/>
      <c r="F228" s="170"/>
      <c r="G228" s="170"/>
      <c r="H228" s="170"/>
      <c r="I228" s="170"/>
    </row>
    <row r="229" spans="3:9" ht="13.5">
      <c r="C229" s="170"/>
      <c r="D229" s="170"/>
      <c r="E229" s="170"/>
      <c r="F229" s="170"/>
      <c r="G229" s="170"/>
      <c r="H229" s="170"/>
      <c r="I229" s="170"/>
    </row>
    <row r="230" spans="3:9" ht="13.5">
      <c r="C230" s="170"/>
      <c r="D230" s="170"/>
      <c r="E230" s="170"/>
      <c r="F230" s="170"/>
      <c r="G230" s="170"/>
      <c r="H230" s="170"/>
      <c r="I230" s="170"/>
    </row>
  </sheetData>
  <sheetProtection password="DC68" sheet="1" objects="1" scenarios="1" selectLockedCells="1"/>
  <mergeCells count="7">
    <mergeCell ref="G144:H144"/>
    <mergeCell ref="G145:H145"/>
    <mergeCell ref="G146:H146"/>
    <mergeCell ref="F41:G41"/>
    <mergeCell ref="G131:H131"/>
    <mergeCell ref="G132:H132"/>
    <mergeCell ref="G133:H133"/>
  </mergeCells>
  <conditionalFormatting sqref="A133">
    <cfRule type="cellIs" priority="1" dxfId="1" operator="between" stopIfTrue="1">
      <formula>0</formula>
      <formula>2</formula>
    </cfRule>
  </conditionalFormatting>
  <printOptions/>
  <pageMargins left="0.7480314960629921" right="0.7480314960629921" top="0.7874015748031497" bottom="0.86" header="0" footer="0"/>
  <pageSetup horizontalDpi="300" verticalDpi="300" orientation="portrait" paperSize="9" r:id="rId6"/>
  <drawing r:id="rId5"/>
  <legacyDrawing r:id="rId4"/>
  <oleObjects>
    <oleObject progId="hunmin.doc" shapeId="1076352" r:id="rId2"/>
    <oleObject progId="Visio.Drawing.6" shapeId="2484113" r:id="rId3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6"/>
  <sheetViews>
    <sheetView zoomScale="85" zoomScaleNormal="85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19" sqref="A19"/>
      <selection pane="bottomRight" activeCell="D98" sqref="D98"/>
    </sheetView>
  </sheetViews>
  <sheetFormatPr defaultColWidth="8.88671875" defaultRowHeight="13.5"/>
  <cols>
    <col min="1" max="1" width="13.77734375" style="165" customWidth="1"/>
    <col min="2" max="2" width="13.77734375" style="164" customWidth="1"/>
    <col min="3" max="4" width="6.77734375" style="166" customWidth="1"/>
    <col min="5" max="7" width="8.88671875" style="166" customWidth="1"/>
    <col min="8" max="8" width="6.77734375" style="166" customWidth="1"/>
    <col min="9" max="13" width="7.77734375" style="166" customWidth="1"/>
    <col min="14" max="14" width="9.5546875" style="167" customWidth="1"/>
    <col min="15" max="15" width="9.4453125" style="167" bestFit="1" customWidth="1"/>
    <col min="16" max="16" width="12.99609375" style="166" bestFit="1" customWidth="1"/>
    <col min="17" max="17" width="13.88671875" style="166" customWidth="1"/>
    <col min="18" max="18" width="24.5546875" style="166" bestFit="1" customWidth="1"/>
    <col min="19" max="19" width="10.6640625" style="166" customWidth="1"/>
    <col min="20" max="20" width="10.21484375" style="166" customWidth="1"/>
    <col min="21" max="16384" width="8.88671875" style="166" customWidth="1"/>
  </cols>
  <sheetData>
    <row r="1" spans="1:20" s="3" customFormat="1" ht="13.5" customHeight="1">
      <c r="A1" s="335" t="s">
        <v>55</v>
      </c>
      <c r="B1" s="346" t="s">
        <v>56</v>
      </c>
      <c r="C1" s="338" t="s">
        <v>57</v>
      </c>
      <c r="D1" s="339"/>
      <c r="E1" s="339"/>
      <c r="F1" s="339"/>
      <c r="G1" s="339"/>
      <c r="H1" s="326"/>
      <c r="I1" s="338" t="s">
        <v>58</v>
      </c>
      <c r="J1" s="339"/>
      <c r="K1" s="339"/>
      <c r="L1" s="326"/>
      <c r="M1" s="349" t="s">
        <v>59</v>
      </c>
      <c r="N1" s="335" t="s">
        <v>60</v>
      </c>
      <c r="O1" s="329" t="s">
        <v>61</v>
      </c>
      <c r="P1" s="326" t="s">
        <v>62</v>
      </c>
      <c r="Q1" s="329" t="s">
        <v>63</v>
      </c>
      <c r="R1" s="326" t="s">
        <v>64</v>
      </c>
      <c r="S1" s="324"/>
      <c r="T1" s="324"/>
    </row>
    <row r="2" spans="1:20" s="3" customFormat="1" ht="24.75" customHeight="1">
      <c r="A2" s="336"/>
      <c r="B2" s="347"/>
      <c r="C2" s="344" t="s">
        <v>65</v>
      </c>
      <c r="D2" s="344" t="s">
        <v>66</v>
      </c>
      <c r="E2" s="344" t="s">
        <v>67</v>
      </c>
      <c r="F2" s="329"/>
      <c r="G2" s="329" t="s">
        <v>32</v>
      </c>
      <c r="H2" s="329" t="s">
        <v>68</v>
      </c>
      <c r="I2" s="340" t="s">
        <v>69</v>
      </c>
      <c r="J2" s="340" t="s">
        <v>70</v>
      </c>
      <c r="K2" s="340" t="s">
        <v>71</v>
      </c>
      <c r="L2" s="340" t="s">
        <v>72</v>
      </c>
      <c r="M2" s="350"/>
      <c r="N2" s="336"/>
      <c r="O2" s="330"/>
      <c r="P2" s="327"/>
      <c r="Q2" s="327"/>
      <c r="R2" s="327"/>
      <c r="S2" s="325"/>
      <c r="T2" s="325"/>
    </row>
    <row r="3" spans="1:20" s="3" customFormat="1" ht="13.5" customHeight="1">
      <c r="A3" s="337"/>
      <c r="B3" s="348"/>
      <c r="C3" s="345"/>
      <c r="D3" s="345"/>
      <c r="E3" s="4" t="s">
        <v>73</v>
      </c>
      <c r="F3" s="4" t="s">
        <v>74</v>
      </c>
      <c r="G3" s="331"/>
      <c r="H3" s="331"/>
      <c r="I3" s="341"/>
      <c r="J3" s="341"/>
      <c r="K3" s="341"/>
      <c r="L3" s="341"/>
      <c r="M3" s="351"/>
      <c r="N3" s="337"/>
      <c r="O3" s="331"/>
      <c r="P3" s="328"/>
      <c r="Q3" s="328"/>
      <c r="R3" s="328"/>
      <c r="S3" s="325"/>
      <c r="T3" s="325"/>
    </row>
    <row r="4" spans="1:18" s="9" customFormat="1" ht="15">
      <c r="A4" s="5" t="s">
        <v>75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6"/>
      <c r="O4" s="5"/>
      <c r="P4" s="5"/>
      <c r="Q4" s="7"/>
      <c r="R4" s="8"/>
    </row>
    <row r="5" spans="1:18" s="18" customFormat="1" ht="12.75">
      <c r="A5" s="10" t="s">
        <v>76</v>
      </c>
      <c r="B5" s="11" t="s">
        <v>77</v>
      </c>
      <c r="C5" s="12">
        <v>800</v>
      </c>
      <c r="D5" s="13">
        <v>1.2</v>
      </c>
      <c r="E5" s="12">
        <v>25</v>
      </c>
      <c r="F5" s="13">
        <v>30</v>
      </c>
      <c r="G5" s="12">
        <v>67</v>
      </c>
      <c r="H5" s="14">
        <v>7</v>
      </c>
      <c r="I5" s="12" t="s">
        <v>33</v>
      </c>
      <c r="J5" s="12" t="s">
        <v>34</v>
      </c>
      <c r="K5" s="12" t="s">
        <v>33</v>
      </c>
      <c r="L5" s="12" t="s">
        <v>33</v>
      </c>
      <c r="M5" s="12" t="s">
        <v>34</v>
      </c>
      <c r="N5" s="12" t="s">
        <v>78</v>
      </c>
      <c r="O5" s="15" t="s">
        <v>79</v>
      </c>
      <c r="P5" s="16" t="s">
        <v>80</v>
      </c>
      <c r="Q5" s="301" t="s">
        <v>81</v>
      </c>
      <c r="R5" s="17"/>
    </row>
    <row r="6" spans="1:18" s="18" customFormat="1" ht="12.75" customHeight="1">
      <c r="A6" s="10" t="s">
        <v>82</v>
      </c>
      <c r="B6" s="11" t="s">
        <v>83</v>
      </c>
      <c r="C6" s="12">
        <v>800</v>
      </c>
      <c r="D6" s="12">
        <v>2.15</v>
      </c>
      <c r="E6" s="12">
        <v>40</v>
      </c>
      <c r="F6" s="12">
        <v>50</v>
      </c>
      <c r="G6" s="12" t="s">
        <v>84</v>
      </c>
      <c r="H6" s="14">
        <v>5</v>
      </c>
      <c r="I6" s="12" t="s">
        <v>33</v>
      </c>
      <c r="J6" s="12" t="s">
        <v>34</v>
      </c>
      <c r="K6" s="12" t="s">
        <v>33</v>
      </c>
      <c r="L6" s="12" t="s">
        <v>33</v>
      </c>
      <c r="M6" s="12" t="s">
        <v>34</v>
      </c>
      <c r="N6" s="12" t="s">
        <v>78</v>
      </c>
      <c r="O6" s="19" t="s">
        <v>85</v>
      </c>
      <c r="P6" s="20" t="s">
        <v>86</v>
      </c>
      <c r="Q6" s="334"/>
      <c r="R6" s="22"/>
    </row>
    <row r="7" spans="1:18" s="18" customFormat="1" ht="12.75">
      <c r="A7" s="10" t="s">
        <v>87</v>
      </c>
      <c r="B7" s="11" t="s">
        <v>88</v>
      </c>
      <c r="C7" s="12">
        <v>800</v>
      </c>
      <c r="D7" s="14">
        <v>4</v>
      </c>
      <c r="E7" s="12">
        <v>80</v>
      </c>
      <c r="F7" s="12">
        <v>100</v>
      </c>
      <c r="G7" s="12" t="s">
        <v>89</v>
      </c>
      <c r="H7" s="14">
        <v>2</v>
      </c>
      <c r="I7" s="12" t="s">
        <v>35</v>
      </c>
      <c r="J7" s="12" t="s">
        <v>34</v>
      </c>
      <c r="K7" s="12" t="s">
        <v>35</v>
      </c>
      <c r="L7" s="12" t="s">
        <v>35</v>
      </c>
      <c r="M7" s="12" t="s">
        <v>36</v>
      </c>
      <c r="N7" s="12" t="s">
        <v>90</v>
      </c>
      <c r="O7" s="296" t="s">
        <v>91</v>
      </c>
      <c r="P7" s="297" t="s">
        <v>92</v>
      </c>
      <c r="Q7" s="300" t="s">
        <v>93</v>
      </c>
      <c r="R7" s="22"/>
    </row>
    <row r="8" spans="1:18" s="18" customFormat="1" ht="12.75">
      <c r="A8" s="24" t="s">
        <v>94</v>
      </c>
      <c r="B8" s="25" t="s">
        <v>88</v>
      </c>
      <c r="C8" s="26">
        <v>800</v>
      </c>
      <c r="D8" s="27">
        <v>4</v>
      </c>
      <c r="E8" s="26">
        <v>80</v>
      </c>
      <c r="F8" s="26">
        <v>100</v>
      </c>
      <c r="G8" s="26">
        <v>100</v>
      </c>
      <c r="H8" s="27">
        <v>2</v>
      </c>
      <c r="I8" s="26" t="s">
        <v>33</v>
      </c>
      <c r="J8" s="26" t="s">
        <v>34</v>
      </c>
      <c r="K8" s="26" t="s">
        <v>33</v>
      </c>
      <c r="L8" s="26" t="s">
        <v>33</v>
      </c>
      <c r="M8" s="26" t="s">
        <v>36</v>
      </c>
      <c r="N8" s="26" t="s">
        <v>39</v>
      </c>
      <c r="O8" s="296"/>
      <c r="P8" s="297"/>
      <c r="Q8" s="300"/>
      <c r="R8" s="22"/>
    </row>
    <row r="9" spans="1:18" s="18" customFormat="1" ht="12.75">
      <c r="A9" s="28" t="s">
        <v>95</v>
      </c>
      <c r="B9" s="29" t="s">
        <v>88</v>
      </c>
      <c r="C9" s="30">
        <v>800</v>
      </c>
      <c r="D9" s="31">
        <v>4</v>
      </c>
      <c r="E9" s="30">
        <v>80</v>
      </c>
      <c r="F9" s="30">
        <v>100</v>
      </c>
      <c r="G9" s="30">
        <v>67</v>
      </c>
      <c r="H9" s="31">
        <v>2</v>
      </c>
      <c r="I9" s="30" t="s">
        <v>33</v>
      </c>
      <c r="J9" s="30" t="s">
        <v>34</v>
      </c>
      <c r="K9" s="30" t="s">
        <v>33</v>
      </c>
      <c r="L9" s="30" t="s">
        <v>33</v>
      </c>
      <c r="M9" s="30" t="s">
        <v>36</v>
      </c>
      <c r="N9" s="30" t="s">
        <v>90</v>
      </c>
      <c r="O9" s="296"/>
      <c r="P9" s="297"/>
      <c r="Q9" s="300"/>
      <c r="R9" s="22"/>
    </row>
    <row r="10" spans="1:18" s="18" customFormat="1" ht="12.75">
      <c r="A10" s="10" t="s">
        <v>96</v>
      </c>
      <c r="B10" s="11" t="s">
        <v>97</v>
      </c>
      <c r="C10" s="12">
        <v>800</v>
      </c>
      <c r="D10" s="14">
        <v>5</v>
      </c>
      <c r="E10" s="12">
        <v>110</v>
      </c>
      <c r="F10" s="12">
        <v>130</v>
      </c>
      <c r="G10" s="12">
        <v>67</v>
      </c>
      <c r="H10" s="12">
        <v>1.5</v>
      </c>
      <c r="I10" s="12" t="s">
        <v>35</v>
      </c>
      <c r="J10" s="12" t="s">
        <v>34</v>
      </c>
      <c r="K10" s="12" t="s">
        <v>35</v>
      </c>
      <c r="L10" s="12" t="s">
        <v>35</v>
      </c>
      <c r="M10" s="12" t="s">
        <v>36</v>
      </c>
      <c r="N10" s="12" t="s">
        <v>98</v>
      </c>
      <c r="O10" s="296" t="s">
        <v>91</v>
      </c>
      <c r="P10" s="297" t="s">
        <v>92</v>
      </c>
      <c r="Q10" s="300"/>
      <c r="R10" s="32"/>
    </row>
    <row r="11" spans="1:18" s="18" customFormat="1" ht="12.75">
      <c r="A11" s="24" t="s">
        <v>99</v>
      </c>
      <c r="B11" s="25" t="s">
        <v>97</v>
      </c>
      <c r="C11" s="26">
        <v>800</v>
      </c>
      <c r="D11" s="27">
        <v>5</v>
      </c>
      <c r="E11" s="26">
        <v>110</v>
      </c>
      <c r="F11" s="26">
        <v>130</v>
      </c>
      <c r="G11" s="26">
        <v>67</v>
      </c>
      <c r="H11" s="26">
        <v>1.5</v>
      </c>
      <c r="I11" s="26" t="s">
        <v>35</v>
      </c>
      <c r="J11" s="26" t="s">
        <v>34</v>
      </c>
      <c r="K11" s="26" t="s">
        <v>35</v>
      </c>
      <c r="L11" s="26" t="s">
        <v>35</v>
      </c>
      <c r="M11" s="26" t="s">
        <v>36</v>
      </c>
      <c r="N11" s="26" t="s">
        <v>37</v>
      </c>
      <c r="O11" s="296"/>
      <c r="P11" s="297"/>
      <c r="Q11" s="300"/>
      <c r="R11" s="33" t="s">
        <v>100</v>
      </c>
    </row>
    <row r="12" spans="1:18" s="18" customFormat="1" ht="12.75" customHeight="1">
      <c r="A12" s="10" t="s">
        <v>101</v>
      </c>
      <c r="B12" s="11" t="s">
        <v>102</v>
      </c>
      <c r="C12" s="12">
        <v>800</v>
      </c>
      <c r="D12" s="14">
        <v>4</v>
      </c>
      <c r="E12" s="12">
        <v>80</v>
      </c>
      <c r="F12" s="12">
        <v>100</v>
      </c>
      <c r="G12" s="12" t="s">
        <v>103</v>
      </c>
      <c r="H12" s="14">
        <v>2</v>
      </c>
      <c r="I12" s="12" t="s">
        <v>35</v>
      </c>
      <c r="J12" s="12" t="s">
        <v>34</v>
      </c>
      <c r="K12" s="12" t="s">
        <v>35</v>
      </c>
      <c r="L12" s="12" t="s">
        <v>35</v>
      </c>
      <c r="M12" s="12" t="s">
        <v>36</v>
      </c>
      <c r="N12" s="12" t="s">
        <v>90</v>
      </c>
      <c r="O12" s="34" t="s">
        <v>104</v>
      </c>
      <c r="P12" s="23" t="s">
        <v>105</v>
      </c>
      <c r="Q12" s="20" t="s">
        <v>106</v>
      </c>
      <c r="R12" s="22"/>
    </row>
    <row r="13" spans="1:18" s="18" customFormat="1" ht="12.75">
      <c r="A13" s="10" t="s">
        <v>107</v>
      </c>
      <c r="B13" s="11" t="s">
        <v>108</v>
      </c>
      <c r="C13" s="12">
        <v>800</v>
      </c>
      <c r="D13" s="14">
        <v>4</v>
      </c>
      <c r="E13" s="12">
        <v>80</v>
      </c>
      <c r="F13" s="12">
        <v>100</v>
      </c>
      <c r="G13" s="12" t="s">
        <v>103</v>
      </c>
      <c r="H13" s="14">
        <v>2</v>
      </c>
      <c r="I13" s="12" t="s">
        <v>33</v>
      </c>
      <c r="J13" s="12" t="s">
        <v>34</v>
      </c>
      <c r="K13" s="12" t="s">
        <v>33</v>
      </c>
      <c r="L13" s="12" t="s">
        <v>33</v>
      </c>
      <c r="M13" s="12" t="s">
        <v>36</v>
      </c>
      <c r="N13" s="12" t="s">
        <v>109</v>
      </c>
      <c r="O13" s="332" t="s">
        <v>110</v>
      </c>
      <c r="P13" s="297" t="s">
        <v>111</v>
      </c>
      <c r="Q13" s="300" t="s">
        <v>112</v>
      </c>
      <c r="R13" s="22"/>
    </row>
    <row r="14" spans="1:18" s="18" customFormat="1" ht="12.75">
      <c r="A14" s="28" t="s">
        <v>113</v>
      </c>
      <c r="B14" s="29" t="s">
        <v>114</v>
      </c>
      <c r="C14" s="30">
        <v>800</v>
      </c>
      <c r="D14" s="31">
        <v>5</v>
      </c>
      <c r="E14" s="30">
        <v>110</v>
      </c>
      <c r="F14" s="30">
        <v>130</v>
      </c>
      <c r="G14" s="30" t="s">
        <v>103</v>
      </c>
      <c r="H14" s="30">
        <v>1.5</v>
      </c>
      <c r="I14" s="30" t="s">
        <v>33</v>
      </c>
      <c r="J14" s="30" t="s">
        <v>34</v>
      </c>
      <c r="K14" s="30" t="s">
        <v>33</v>
      </c>
      <c r="L14" s="30" t="s">
        <v>33</v>
      </c>
      <c r="M14" s="30" t="s">
        <v>36</v>
      </c>
      <c r="N14" s="30" t="s">
        <v>109</v>
      </c>
      <c r="O14" s="333"/>
      <c r="P14" s="297"/>
      <c r="Q14" s="300"/>
      <c r="R14" s="36"/>
    </row>
    <row r="15" spans="1:18" s="9" customFormat="1" ht="15">
      <c r="A15" s="320" t="s">
        <v>115</v>
      </c>
      <c r="B15" s="321"/>
      <c r="C15" s="321"/>
      <c r="D15" s="322"/>
      <c r="E15" s="37"/>
      <c r="F15" s="37"/>
      <c r="G15" s="37"/>
      <c r="H15" s="37"/>
      <c r="I15" s="38"/>
      <c r="J15" s="38"/>
      <c r="K15" s="38"/>
      <c r="L15" s="38"/>
      <c r="M15" s="38"/>
      <c r="N15" s="39"/>
      <c r="O15" s="8"/>
      <c r="P15" s="37"/>
      <c r="Q15" s="40"/>
      <c r="R15" s="37"/>
    </row>
    <row r="16" spans="1:18" s="18" customFormat="1" ht="12.75" customHeight="1">
      <c r="A16" s="10" t="s">
        <v>116</v>
      </c>
      <c r="B16" s="11" t="s">
        <v>117</v>
      </c>
      <c r="C16" s="12">
        <v>650</v>
      </c>
      <c r="D16" s="12">
        <v>0.6</v>
      </c>
      <c r="E16" s="12">
        <v>10</v>
      </c>
      <c r="F16" s="12">
        <v>10</v>
      </c>
      <c r="G16" s="12">
        <v>100</v>
      </c>
      <c r="H16" s="12">
        <v>10</v>
      </c>
      <c r="I16" s="12" t="s">
        <v>33</v>
      </c>
      <c r="J16" s="12" t="s">
        <v>34</v>
      </c>
      <c r="K16" s="12" t="s">
        <v>33</v>
      </c>
      <c r="L16" s="12" t="s">
        <v>33</v>
      </c>
      <c r="M16" s="12" t="s">
        <v>36</v>
      </c>
      <c r="N16" s="12" t="s">
        <v>118</v>
      </c>
      <c r="O16" s="15" t="s">
        <v>119</v>
      </c>
      <c r="P16" s="298" t="s">
        <v>120</v>
      </c>
      <c r="Q16" s="301" t="s">
        <v>121</v>
      </c>
      <c r="R16" s="41"/>
    </row>
    <row r="17" spans="1:18" s="18" customFormat="1" ht="12.75">
      <c r="A17" s="28" t="s">
        <v>122</v>
      </c>
      <c r="B17" s="29" t="s">
        <v>123</v>
      </c>
      <c r="C17" s="30">
        <v>650</v>
      </c>
      <c r="D17" s="30">
        <v>0.6</v>
      </c>
      <c r="E17" s="30">
        <v>15</v>
      </c>
      <c r="F17" s="30">
        <v>15</v>
      </c>
      <c r="G17" s="30">
        <v>100</v>
      </c>
      <c r="H17" s="30">
        <v>10</v>
      </c>
      <c r="I17" s="30" t="s">
        <v>33</v>
      </c>
      <c r="J17" s="30" t="s">
        <v>34</v>
      </c>
      <c r="K17" s="30" t="s">
        <v>33</v>
      </c>
      <c r="L17" s="30" t="s">
        <v>33</v>
      </c>
      <c r="M17" s="30" t="s">
        <v>34</v>
      </c>
      <c r="N17" s="30" t="s">
        <v>78</v>
      </c>
      <c r="O17" s="35" t="s">
        <v>124</v>
      </c>
      <c r="P17" s="299"/>
      <c r="Q17" s="302"/>
      <c r="R17" s="42"/>
    </row>
    <row r="18" spans="1:18" s="18" customFormat="1" ht="12.75">
      <c r="A18" s="24" t="s">
        <v>125</v>
      </c>
      <c r="B18" s="25" t="s">
        <v>126</v>
      </c>
      <c r="C18" s="26">
        <v>650</v>
      </c>
      <c r="D18" s="26">
        <v>1.2</v>
      </c>
      <c r="E18" s="26">
        <v>25</v>
      </c>
      <c r="F18" s="26">
        <v>30</v>
      </c>
      <c r="G18" s="26">
        <v>67</v>
      </c>
      <c r="H18" s="27">
        <v>6</v>
      </c>
      <c r="I18" s="26" t="s">
        <v>33</v>
      </c>
      <c r="J18" s="26" t="s">
        <v>34</v>
      </c>
      <c r="K18" s="26" t="s">
        <v>33</v>
      </c>
      <c r="L18" s="26" t="s">
        <v>33</v>
      </c>
      <c r="M18" s="26" t="s">
        <v>34</v>
      </c>
      <c r="N18" s="26" t="s">
        <v>78</v>
      </c>
      <c r="O18" s="34" t="s">
        <v>79</v>
      </c>
      <c r="P18" s="21" t="s">
        <v>127</v>
      </c>
      <c r="Q18" s="291" t="s">
        <v>81</v>
      </c>
      <c r="R18" s="42"/>
    </row>
    <row r="19" spans="1:18" s="18" customFormat="1" ht="12.75">
      <c r="A19" s="43" t="s">
        <v>128</v>
      </c>
      <c r="B19" s="44" t="s">
        <v>129</v>
      </c>
      <c r="C19" s="23">
        <v>650</v>
      </c>
      <c r="D19" s="23">
        <v>2.15</v>
      </c>
      <c r="E19" s="23">
        <v>40</v>
      </c>
      <c r="F19" s="23">
        <v>50</v>
      </c>
      <c r="G19" s="23">
        <v>67</v>
      </c>
      <c r="H19" s="23">
        <v>4.5</v>
      </c>
      <c r="I19" s="23" t="s">
        <v>33</v>
      </c>
      <c r="J19" s="23" t="s">
        <v>34</v>
      </c>
      <c r="K19" s="23" t="s">
        <v>33</v>
      </c>
      <c r="L19" s="23" t="s">
        <v>33</v>
      </c>
      <c r="M19" s="23" t="s">
        <v>34</v>
      </c>
      <c r="N19" s="23" t="s">
        <v>78</v>
      </c>
      <c r="O19" s="19" t="s">
        <v>85</v>
      </c>
      <c r="P19" s="20" t="s">
        <v>130</v>
      </c>
      <c r="Q19" s="291"/>
      <c r="R19" s="42"/>
    </row>
    <row r="20" spans="1:18" s="18" customFormat="1" ht="12.75">
      <c r="A20" s="10" t="s">
        <v>131</v>
      </c>
      <c r="B20" s="25" t="s">
        <v>132</v>
      </c>
      <c r="C20" s="26">
        <v>650</v>
      </c>
      <c r="D20" s="26">
        <v>3.5</v>
      </c>
      <c r="E20" s="26">
        <v>50</v>
      </c>
      <c r="F20" s="26">
        <v>60</v>
      </c>
      <c r="G20" s="26" t="s">
        <v>89</v>
      </c>
      <c r="H20" s="26">
        <v>2.2</v>
      </c>
      <c r="I20" s="26" t="s">
        <v>33</v>
      </c>
      <c r="J20" s="26" t="s">
        <v>34</v>
      </c>
      <c r="K20" s="26" t="s">
        <v>33</v>
      </c>
      <c r="L20" s="26" t="s">
        <v>33</v>
      </c>
      <c r="M20" s="26" t="s">
        <v>34</v>
      </c>
      <c r="N20" s="26" t="s">
        <v>78</v>
      </c>
      <c r="O20" s="34" t="s">
        <v>133</v>
      </c>
      <c r="P20" s="21" t="s">
        <v>134</v>
      </c>
      <c r="Q20" s="291"/>
      <c r="R20" s="42"/>
    </row>
    <row r="21" spans="1:18" s="18" customFormat="1" ht="12.75">
      <c r="A21" s="10" t="s">
        <v>135</v>
      </c>
      <c r="B21" s="11" t="s">
        <v>136</v>
      </c>
      <c r="C21" s="12">
        <v>650</v>
      </c>
      <c r="D21" s="14">
        <v>5</v>
      </c>
      <c r="E21" s="12">
        <v>100</v>
      </c>
      <c r="F21" s="12">
        <v>120</v>
      </c>
      <c r="G21" s="12">
        <v>67</v>
      </c>
      <c r="H21" s="12">
        <v>1.6</v>
      </c>
      <c r="I21" s="12" t="s">
        <v>33</v>
      </c>
      <c r="J21" s="12" t="s">
        <v>34</v>
      </c>
      <c r="K21" s="12" t="s">
        <v>33</v>
      </c>
      <c r="L21" s="12" t="s">
        <v>33</v>
      </c>
      <c r="M21" s="12" t="s">
        <v>36</v>
      </c>
      <c r="N21" s="12" t="s">
        <v>90</v>
      </c>
      <c r="O21" s="298" t="s">
        <v>91</v>
      </c>
      <c r="P21" s="298" t="s">
        <v>137</v>
      </c>
      <c r="Q21" s="298" t="s">
        <v>138</v>
      </c>
      <c r="R21" s="42"/>
    </row>
    <row r="22" spans="1:18" s="18" customFormat="1" ht="13.5" customHeight="1">
      <c r="A22" s="28" t="s">
        <v>139</v>
      </c>
      <c r="B22" s="29" t="s">
        <v>140</v>
      </c>
      <c r="C22" s="30">
        <v>650</v>
      </c>
      <c r="D22" s="31">
        <v>6</v>
      </c>
      <c r="E22" s="30">
        <v>120</v>
      </c>
      <c r="F22" s="30">
        <v>145</v>
      </c>
      <c r="G22" s="30">
        <v>67</v>
      </c>
      <c r="H22" s="30">
        <v>1.2</v>
      </c>
      <c r="I22" s="30" t="s">
        <v>33</v>
      </c>
      <c r="J22" s="30" t="s">
        <v>34</v>
      </c>
      <c r="K22" s="30" t="s">
        <v>33</v>
      </c>
      <c r="L22" s="30" t="s">
        <v>33</v>
      </c>
      <c r="M22" s="30" t="s">
        <v>36</v>
      </c>
      <c r="N22" s="30" t="s">
        <v>90</v>
      </c>
      <c r="O22" s="299"/>
      <c r="P22" s="299"/>
      <c r="Q22" s="299"/>
      <c r="R22" s="42"/>
    </row>
    <row r="23" spans="1:18" s="9" customFormat="1" ht="15">
      <c r="A23" s="323" t="s">
        <v>141</v>
      </c>
      <c r="B23" s="323"/>
      <c r="C23" s="323"/>
      <c r="D23" s="323"/>
      <c r="E23" s="45"/>
      <c r="F23" s="45"/>
      <c r="G23" s="45"/>
      <c r="H23" s="45"/>
      <c r="I23" s="46"/>
      <c r="J23" s="46"/>
      <c r="K23" s="46"/>
      <c r="L23" s="46"/>
      <c r="M23" s="46"/>
      <c r="N23" s="47"/>
      <c r="O23" s="48"/>
      <c r="P23" s="45"/>
      <c r="Q23" s="49"/>
      <c r="R23" s="37"/>
    </row>
    <row r="24" spans="1:19" s="3" customFormat="1" ht="13.5">
      <c r="A24" s="50" t="s">
        <v>77</v>
      </c>
      <c r="B24" s="51"/>
      <c r="C24" s="52">
        <v>800</v>
      </c>
      <c r="D24" s="52">
        <v>1.2</v>
      </c>
      <c r="E24" s="52">
        <v>25</v>
      </c>
      <c r="F24" s="52">
        <v>30</v>
      </c>
      <c r="G24" s="52" t="s">
        <v>89</v>
      </c>
      <c r="H24" s="53">
        <v>7</v>
      </c>
      <c r="I24" s="52" t="s">
        <v>33</v>
      </c>
      <c r="J24" s="52" t="s">
        <v>142</v>
      </c>
      <c r="K24" s="52" t="s">
        <v>33</v>
      </c>
      <c r="L24" s="52" t="s">
        <v>33</v>
      </c>
      <c r="M24" s="52" t="s">
        <v>34</v>
      </c>
      <c r="N24" s="52" t="s">
        <v>78</v>
      </c>
      <c r="O24" s="54" t="s">
        <v>79</v>
      </c>
      <c r="P24" s="55" t="s">
        <v>80</v>
      </c>
      <c r="Q24" s="290" t="s">
        <v>81</v>
      </c>
      <c r="R24" s="56"/>
      <c r="S24" s="57"/>
    </row>
    <row r="25" spans="1:18" s="3" customFormat="1" ht="12.75">
      <c r="A25" s="50" t="s">
        <v>83</v>
      </c>
      <c r="B25" s="51"/>
      <c r="C25" s="52">
        <v>800</v>
      </c>
      <c r="D25" s="52">
        <v>2.15</v>
      </c>
      <c r="E25" s="52">
        <v>40</v>
      </c>
      <c r="F25" s="52">
        <v>50</v>
      </c>
      <c r="G25" s="52" t="s">
        <v>143</v>
      </c>
      <c r="H25" s="53">
        <v>5</v>
      </c>
      <c r="I25" s="52" t="s">
        <v>33</v>
      </c>
      <c r="J25" s="52" t="s">
        <v>142</v>
      </c>
      <c r="K25" s="52" t="s">
        <v>33</v>
      </c>
      <c r="L25" s="52" t="s">
        <v>33</v>
      </c>
      <c r="M25" s="52" t="s">
        <v>34</v>
      </c>
      <c r="N25" s="52" t="s">
        <v>78</v>
      </c>
      <c r="O25" s="54" t="s">
        <v>85</v>
      </c>
      <c r="P25" s="55" t="s">
        <v>130</v>
      </c>
      <c r="Q25" s="291"/>
      <c r="R25" s="58"/>
    </row>
    <row r="26" spans="1:18" s="3" customFormat="1" ht="12.75">
      <c r="A26" s="59" t="s">
        <v>144</v>
      </c>
      <c r="B26" s="60"/>
      <c r="C26" s="61">
        <v>800</v>
      </c>
      <c r="D26" s="62">
        <v>4</v>
      </c>
      <c r="E26" s="61">
        <v>80</v>
      </c>
      <c r="F26" s="61">
        <v>100</v>
      </c>
      <c r="G26" s="61" t="s">
        <v>103</v>
      </c>
      <c r="H26" s="62">
        <v>2</v>
      </c>
      <c r="I26" s="61" t="s">
        <v>33</v>
      </c>
      <c r="J26" s="61" t="s">
        <v>35</v>
      </c>
      <c r="K26" s="61" t="s">
        <v>33</v>
      </c>
      <c r="L26" s="61" t="s">
        <v>35</v>
      </c>
      <c r="M26" s="61" t="s">
        <v>36</v>
      </c>
      <c r="N26" s="61" t="s">
        <v>145</v>
      </c>
      <c r="O26" s="63" t="s">
        <v>91</v>
      </c>
      <c r="P26" s="61" t="s">
        <v>146</v>
      </c>
      <c r="Q26" s="64" t="s">
        <v>147</v>
      </c>
      <c r="R26" s="65" t="s">
        <v>148</v>
      </c>
    </row>
    <row r="27" spans="1:18" s="9" customFormat="1" ht="15">
      <c r="A27" s="323" t="s">
        <v>149</v>
      </c>
      <c r="B27" s="323"/>
      <c r="C27" s="323"/>
      <c r="D27" s="323"/>
      <c r="E27" s="45"/>
      <c r="F27" s="45"/>
      <c r="G27" s="45"/>
      <c r="H27" s="45"/>
      <c r="I27" s="46"/>
      <c r="J27" s="46"/>
      <c r="K27" s="46"/>
      <c r="L27" s="46"/>
      <c r="M27" s="46"/>
      <c r="N27" s="47"/>
      <c r="O27" s="48"/>
      <c r="P27" s="45"/>
      <c r="Q27" s="49"/>
      <c r="R27" s="37"/>
    </row>
    <row r="28" spans="1:18" s="3" customFormat="1" ht="12.75">
      <c r="A28" s="50" t="s">
        <v>123</v>
      </c>
      <c r="B28" s="51"/>
      <c r="C28" s="52">
        <v>650</v>
      </c>
      <c r="D28" s="52">
        <v>0.6</v>
      </c>
      <c r="E28" s="52">
        <v>15</v>
      </c>
      <c r="F28" s="52">
        <v>15</v>
      </c>
      <c r="G28" s="52" t="s">
        <v>143</v>
      </c>
      <c r="H28" s="52">
        <v>10</v>
      </c>
      <c r="I28" s="52" t="s">
        <v>33</v>
      </c>
      <c r="J28" s="52" t="s">
        <v>142</v>
      </c>
      <c r="K28" s="52" t="s">
        <v>33</v>
      </c>
      <c r="L28" s="52" t="s">
        <v>33</v>
      </c>
      <c r="M28" s="52" t="s">
        <v>34</v>
      </c>
      <c r="N28" s="52" t="s">
        <v>78</v>
      </c>
      <c r="O28" s="290" t="s">
        <v>150</v>
      </c>
      <c r="P28" s="290" t="s">
        <v>151</v>
      </c>
      <c r="Q28" s="290" t="s">
        <v>121</v>
      </c>
      <c r="R28" s="66"/>
    </row>
    <row r="29" spans="1:18" s="3" customFormat="1" ht="12.75">
      <c r="A29" s="67" t="s">
        <v>117</v>
      </c>
      <c r="B29" s="68" t="s">
        <v>152</v>
      </c>
      <c r="C29" s="69">
        <v>650</v>
      </c>
      <c r="D29" s="69">
        <v>0.6</v>
      </c>
      <c r="E29" s="69">
        <v>10</v>
      </c>
      <c r="F29" s="69">
        <v>10</v>
      </c>
      <c r="G29" s="69" t="s">
        <v>143</v>
      </c>
      <c r="H29" s="69">
        <v>10</v>
      </c>
      <c r="I29" s="69" t="s">
        <v>33</v>
      </c>
      <c r="J29" s="69" t="s">
        <v>142</v>
      </c>
      <c r="K29" s="69" t="s">
        <v>33</v>
      </c>
      <c r="L29" s="69" t="s">
        <v>33</v>
      </c>
      <c r="M29" s="69" t="s">
        <v>34</v>
      </c>
      <c r="N29" s="69" t="s">
        <v>118</v>
      </c>
      <c r="O29" s="291"/>
      <c r="P29" s="291"/>
      <c r="Q29" s="291"/>
      <c r="R29" s="58"/>
    </row>
    <row r="30" spans="1:19" s="3" customFormat="1" ht="13.5">
      <c r="A30" s="50" t="s">
        <v>153</v>
      </c>
      <c r="B30" s="70" t="s">
        <v>154</v>
      </c>
      <c r="C30" s="52">
        <v>650</v>
      </c>
      <c r="D30" s="52">
        <v>0.9</v>
      </c>
      <c r="E30" s="52">
        <v>15</v>
      </c>
      <c r="F30" s="52">
        <v>17</v>
      </c>
      <c r="G30" s="52" t="s">
        <v>89</v>
      </c>
      <c r="H30" s="53">
        <v>6</v>
      </c>
      <c r="I30" s="52" t="s">
        <v>33</v>
      </c>
      <c r="J30" s="52" t="s">
        <v>142</v>
      </c>
      <c r="K30" s="52" t="s">
        <v>33</v>
      </c>
      <c r="L30" s="52" t="s">
        <v>33</v>
      </c>
      <c r="M30" s="52" t="s">
        <v>34</v>
      </c>
      <c r="N30" s="52" t="s">
        <v>42</v>
      </c>
      <c r="O30" s="316" t="s">
        <v>79</v>
      </c>
      <c r="P30" s="290" t="s">
        <v>127</v>
      </c>
      <c r="Q30" s="291"/>
      <c r="R30" s="71"/>
      <c r="S30" s="57"/>
    </row>
    <row r="31" spans="1:19" s="3" customFormat="1" ht="12.75">
      <c r="A31" s="67" t="s">
        <v>155</v>
      </c>
      <c r="B31" s="72"/>
      <c r="C31" s="69">
        <v>650</v>
      </c>
      <c r="D31" s="69">
        <v>1.2</v>
      </c>
      <c r="E31" s="69">
        <v>25</v>
      </c>
      <c r="F31" s="69">
        <v>30</v>
      </c>
      <c r="G31" s="69">
        <v>100</v>
      </c>
      <c r="H31" s="73">
        <v>6</v>
      </c>
      <c r="I31" s="69" t="s">
        <v>33</v>
      </c>
      <c r="J31" s="69" t="s">
        <v>142</v>
      </c>
      <c r="K31" s="69" t="s">
        <v>33</v>
      </c>
      <c r="L31" s="69" t="s">
        <v>33</v>
      </c>
      <c r="M31" s="69" t="s">
        <v>36</v>
      </c>
      <c r="N31" s="69" t="s">
        <v>145</v>
      </c>
      <c r="O31" s="319"/>
      <c r="P31" s="291"/>
      <c r="Q31" s="309" t="s">
        <v>81</v>
      </c>
      <c r="R31" s="71"/>
      <c r="S31" s="75"/>
    </row>
    <row r="32" spans="1:18" s="3" customFormat="1" ht="12.75">
      <c r="A32" s="59" t="s">
        <v>126</v>
      </c>
      <c r="B32" s="60"/>
      <c r="C32" s="61">
        <v>650</v>
      </c>
      <c r="D32" s="61">
        <v>1.2</v>
      </c>
      <c r="E32" s="61">
        <v>25</v>
      </c>
      <c r="F32" s="61">
        <v>30</v>
      </c>
      <c r="G32" s="61" t="s">
        <v>84</v>
      </c>
      <c r="H32" s="62">
        <v>6</v>
      </c>
      <c r="I32" s="61" t="s">
        <v>33</v>
      </c>
      <c r="J32" s="61" t="s">
        <v>142</v>
      </c>
      <c r="K32" s="61" t="s">
        <v>33</v>
      </c>
      <c r="L32" s="61" t="s">
        <v>33</v>
      </c>
      <c r="M32" s="61" t="s">
        <v>34</v>
      </c>
      <c r="N32" s="61" t="s">
        <v>78</v>
      </c>
      <c r="O32" s="317"/>
      <c r="P32" s="292"/>
      <c r="Q32" s="309"/>
      <c r="R32" s="58"/>
    </row>
    <row r="33" spans="1:18" s="82" customFormat="1" ht="13.5" customHeight="1">
      <c r="A33" s="76" t="s">
        <v>156</v>
      </c>
      <c r="B33" s="68" t="s">
        <v>157</v>
      </c>
      <c r="C33" s="77">
        <v>650</v>
      </c>
      <c r="D33" s="78">
        <v>2.15</v>
      </c>
      <c r="E33" s="77">
        <v>25</v>
      </c>
      <c r="F33" s="77">
        <v>30</v>
      </c>
      <c r="G33" s="77" t="s">
        <v>84</v>
      </c>
      <c r="H33" s="79">
        <v>4.5</v>
      </c>
      <c r="I33" s="77" t="s">
        <v>33</v>
      </c>
      <c r="J33" s="77" t="s">
        <v>33</v>
      </c>
      <c r="K33" s="77" t="s">
        <v>33</v>
      </c>
      <c r="L33" s="77" t="s">
        <v>33</v>
      </c>
      <c r="M33" s="77" t="s">
        <v>34</v>
      </c>
      <c r="N33" s="77" t="s">
        <v>118</v>
      </c>
      <c r="O33" s="80" t="s">
        <v>158</v>
      </c>
      <c r="P33" s="291" t="s">
        <v>130</v>
      </c>
      <c r="Q33" s="309"/>
      <c r="R33" s="81"/>
    </row>
    <row r="34" spans="1:18" s="3" customFormat="1" ht="12.75">
      <c r="A34" s="67" t="s">
        <v>129</v>
      </c>
      <c r="B34" s="72"/>
      <c r="C34" s="69">
        <v>650</v>
      </c>
      <c r="D34" s="69">
        <v>2.15</v>
      </c>
      <c r="E34" s="69">
        <v>40</v>
      </c>
      <c r="F34" s="69">
        <v>50</v>
      </c>
      <c r="G34" s="69" t="s">
        <v>143</v>
      </c>
      <c r="H34" s="69">
        <v>4.5</v>
      </c>
      <c r="I34" s="69" t="s">
        <v>33</v>
      </c>
      <c r="J34" s="69" t="s">
        <v>33</v>
      </c>
      <c r="K34" s="69" t="s">
        <v>33</v>
      </c>
      <c r="L34" s="69" t="s">
        <v>33</v>
      </c>
      <c r="M34" s="69" t="s">
        <v>34</v>
      </c>
      <c r="N34" s="69" t="s">
        <v>78</v>
      </c>
      <c r="O34" s="74" t="s">
        <v>85</v>
      </c>
      <c r="P34" s="291"/>
      <c r="Q34" s="309"/>
      <c r="R34" s="58"/>
    </row>
    <row r="35" spans="1:18" s="3" customFormat="1" ht="12.75">
      <c r="A35" s="50" t="s">
        <v>136</v>
      </c>
      <c r="B35" s="51"/>
      <c r="C35" s="52">
        <v>650</v>
      </c>
      <c r="D35" s="53">
        <v>5</v>
      </c>
      <c r="E35" s="52">
        <v>100</v>
      </c>
      <c r="F35" s="52">
        <v>120</v>
      </c>
      <c r="G35" s="52">
        <v>67</v>
      </c>
      <c r="H35" s="52">
        <v>1.6</v>
      </c>
      <c r="I35" s="52" t="s">
        <v>33</v>
      </c>
      <c r="J35" s="52" t="s">
        <v>33</v>
      </c>
      <c r="K35" s="52" t="s">
        <v>33</v>
      </c>
      <c r="L35" s="52" t="s">
        <v>33</v>
      </c>
      <c r="M35" s="52" t="s">
        <v>36</v>
      </c>
      <c r="N35" s="52" t="s">
        <v>145</v>
      </c>
      <c r="O35" s="316" t="s">
        <v>91</v>
      </c>
      <c r="P35" s="312" t="s">
        <v>137</v>
      </c>
      <c r="Q35" s="293" t="s">
        <v>138</v>
      </c>
      <c r="R35" s="303"/>
    </row>
    <row r="36" spans="1:18" s="3" customFormat="1" ht="12.75">
      <c r="A36" s="59" t="s">
        <v>140</v>
      </c>
      <c r="B36" s="60"/>
      <c r="C36" s="61">
        <v>650</v>
      </c>
      <c r="D36" s="62">
        <v>6</v>
      </c>
      <c r="E36" s="61">
        <v>120</v>
      </c>
      <c r="F36" s="61">
        <v>145</v>
      </c>
      <c r="G36" s="61">
        <v>67</v>
      </c>
      <c r="H36" s="61">
        <v>1.2</v>
      </c>
      <c r="I36" s="61" t="s">
        <v>35</v>
      </c>
      <c r="J36" s="61" t="s">
        <v>35</v>
      </c>
      <c r="K36" s="61" t="s">
        <v>35</v>
      </c>
      <c r="L36" s="61" t="s">
        <v>35</v>
      </c>
      <c r="M36" s="61" t="s">
        <v>36</v>
      </c>
      <c r="N36" s="61" t="s">
        <v>90</v>
      </c>
      <c r="O36" s="317"/>
      <c r="P36" s="314"/>
      <c r="Q36" s="293"/>
      <c r="R36" s="303"/>
    </row>
    <row r="37" spans="1:18" s="18" customFormat="1" ht="12.75">
      <c r="A37" s="24" t="s">
        <v>159</v>
      </c>
      <c r="B37" s="25" t="s">
        <v>102</v>
      </c>
      <c r="C37" s="26">
        <v>650</v>
      </c>
      <c r="D37" s="27">
        <v>4</v>
      </c>
      <c r="E37" s="26">
        <v>80</v>
      </c>
      <c r="F37" s="26">
        <v>100</v>
      </c>
      <c r="G37" s="26" t="s">
        <v>160</v>
      </c>
      <c r="H37" s="26">
        <v>1.6</v>
      </c>
      <c r="I37" s="26" t="s">
        <v>35</v>
      </c>
      <c r="J37" s="26" t="s">
        <v>35</v>
      </c>
      <c r="K37" s="26" t="s">
        <v>35</v>
      </c>
      <c r="L37" s="26" t="s">
        <v>35</v>
      </c>
      <c r="M37" s="26" t="s">
        <v>36</v>
      </c>
      <c r="N37" s="26" t="s">
        <v>145</v>
      </c>
      <c r="O37" s="34" t="s">
        <v>104</v>
      </c>
      <c r="P37" s="315" t="s">
        <v>105</v>
      </c>
      <c r="Q37" s="300" t="s">
        <v>106</v>
      </c>
      <c r="R37" s="42"/>
    </row>
    <row r="38" spans="1:18" s="18" customFormat="1" ht="12.75">
      <c r="A38" s="24" t="s">
        <v>161</v>
      </c>
      <c r="B38" s="25" t="s">
        <v>162</v>
      </c>
      <c r="C38" s="26">
        <v>650</v>
      </c>
      <c r="D38" s="27">
        <v>6</v>
      </c>
      <c r="E38" s="26">
        <v>120</v>
      </c>
      <c r="F38" s="26">
        <v>145</v>
      </c>
      <c r="G38" s="26" t="s">
        <v>160</v>
      </c>
      <c r="H38" s="26">
        <v>1.2</v>
      </c>
      <c r="I38" s="26" t="s">
        <v>35</v>
      </c>
      <c r="J38" s="26" t="s">
        <v>35</v>
      </c>
      <c r="K38" s="26" t="s">
        <v>35</v>
      </c>
      <c r="L38" s="26" t="s">
        <v>35</v>
      </c>
      <c r="M38" s="26" t="s">
        <v>36</v>
      </c>
      <c r="N38" s="26" t="s">
        <v>90</v>
      </c>
      <c r="O38" s="34" t="s">
        <v>163</v>
      </c>
      <c r="P38" s="315"/>
      <c r="Q38" s="300"/>
      <c r="R38" s="42"/>
    </row>
    <row r="39" spans="1:18" s="18" customFormat="1" ht="12.75">
      <c r="A39" s="24" t="s">
        <v>164</v>
      </c>
      <c r="B39" s="25" t="s">
        <v>165</v>
      </c>
      <c r="C39" s="26">
        <v>650</v>
      </c>
      <c r="D39" s="27">
        <v>6</v>
      </c>
      <c r="E39" s="26">
        <v>120</v>
      </c>
      <c r="F39" s="26">
        <v>145</v>
      </c>
      <c r="G39" s="26" t="s">
        <v>160</v>
      </c>
      <c r="H39" s="26">
        <v>0.9</v>
      </c>
      <c r="I39" s="26" t="s">
        <v>35</v>
      </c>
      <c r="J39" s="26" t="s">
        <v>35</v>
      </c>
      <c r="K39" s="26" t="s">
        <v>35</v>
      </c>
      <c r="L39" s="26" t="s">
        <v>35</v>
      </c>
      <c r="M39" s="26" t="s">
        <v>36</v>
      </c>
      <c r="N39" s="26" t="s">
        <v>90</v>
      </c>
      <c r="O39" s="34" t="s">
        <v>166</v>
      </c>
      <c r="P39" s="315"/>
      <c r="Q39" s="300"/>
      <c r="R39" s="42"/>
    </row>
    <row r="40" spans="1:18" s="18" customFormat="1" ht="12.75">
      <c r="A40" s="24" t="s">
        <v>167</v>
      </c>
      <c r="B40" s="25" t="s">
        <v>165</v>
      </c>
      <c r="C40" s="26">
        <v>650</v>
      </c>
      <c r="D40" s="27">
        <v>8</v>
      </c>
      <c r="E40" s="26">
        <v>160</v>
      </c>
      <c r="F40" s="26">
        <v>190</v>
      </c>
      <c r="G40" s="26" t="s">
        <v>160</v>
      </c>
      <c r="H40" s="26">
        <v>0.9</v>
      </c>
      <c r="I40" s="26" t="s">
        <v>35</v>
      </c>
      <c r="J40" s="26" t="s">
        <v>35</v>
      </c>
      <c r="K40" s="26" t="s">
        <v>35</v>
      </c>
      <c r="L40" s="26" t="s">
        <v>35</v>
      </c>
      <c r="M40" s="26" t="s">
        <v>36</v>
      </c>
      <c r="N40" s="26" t="s">
        <v>90</v>
      </c>
      <c r="O40" s="34" t="s">
        <v>166</v>
      </c>
      <c r="P40" s="315"/>
      <c r="Q40" s="300"/>
      <c r="R40" s="42"/>
    </row>
    <row r="41" spans="1:18" s="3" customFormat="1" ht="12.75">
      <c r="A41" s="83" t="s">
        <v>168</v>
      </c>
      <c r="B41" s="84"/>
      <c r="C41" s="85">
        <v>650</v>
      </c>
      <c r="D41" s="86">
        <v>3.5</v>
      </c>
      <c r="E41" s="85">
        <v>70</v>
      </c>
      <c r="F41" s="85">
        <v>80</v>
      </c>
      <c r="G41" s="85" t="s">
        <v>169</v>
      </c>
      <c r="H41" s="85">
        <v>2.2</v>
      </c>
      <c r="I41" s="85" t="s">
        <v>142</v>
      </c>
      <c r="J41" s="85" t="s">
        <v>170</v>
      </c>
      <c r="K41" s="85" t="s">
        <v>142</v>
      </c>
      <c r="L41" s="85" t="s">
        <v>170</v>
      </c>
      <c r="M41" s="85" t="s">
        <v>171</v>
      </c>
      <c r="N41" s="85" t="s">
        <v>172</v>
      </c>
      <c r="O41" s="87"/>
      <c r="P41" s="312" t="s">
        <v>111</v>
      </c>
      <c r="Q41" s="290" t="s">
        <v>112</v>
      </c>
      <c r="R41" s="304" t="s">
        <v>173</v>
      </c>
    </row>
    <row r="42" spans="1:18" s="82" customFormat="1" ht="12.75">
      <c r="A42" s="67" t="s">
        <v>174</v>
      </c>
      <c r="B42" s="72"/>
      <c r="C42" s="69">
        <v>400</v>
      </c>
      <c r="D42" s="73">
        <v>5</v>
      </c>
      <c r="E42" s="69">
        <v>100</v>
      </c>
      <c r="F42" s="69" t="s">
        <v>175</v>
      </c>
      <c r="G42" s="69" t="s">
        <v>169</v>
      </c>
      <c r="H42" s="69">
        <v>1.1</v>
      </c>
      <c r="I42" s="69" t="s">
        <v>33</v>
      </c>
      <c r="J42" s="69" t="s">
        <v>35</v>
      </c>
      <c r="K42" s="69" t="s">
        <v>33</v>
      </c>
      <c r="L42" s="69" t="s">
        <v>35</v>
      </c>
      <c r="M42" s="69" t="s">
        <v>34</v>
      </c>
      <c r="N42" s="69" t="s">
        <v>172</v>
      </c>
      <c r="O42" s="88" t="s">
        <v>175</v>
      </c>
      <c r="P42" s="313"/>
      <c r="Q42" s="291"/>
      <c r="R42" s="305"/>
    </row>
    <row r="43" spans="1:18" s="82" customFormat="1" ht="12.75">
      <c r="A43" s="76" t="s">
        <v>108</v>
      </c>
      <c r="B43" s="68" t="s">
        <v>176</v>
      </c>
      <c r="C43" s="77">
        <v>650</v>
      </c>
      <c r="D43" s="79">
        <v>5</v>
      </c>
      <c r="E43" s="77">
        <v>100</v>
      </c>
      <c r="F43" s="77">
        <v>130</v>
      </c>
      <c r="G43" s="77" t="s">
        <v>169</v>
      </c>
      <c r="H43" s="77">
        <v>1.6</v>
      </c>
      <c r="I43" s="77" t="s">
        <v>142</v>
      </c>
      <c r="J43" s="77" t="s">
        <v>170</v>
      </c>
      <c r="K43" s="77" t="s">
        <v>142</v>
      </c>
      <c r="L43" s="77" t="s">
        <v>170</v>
      </c>
      <c r="M43" s="77" t="s">
        <v>171</v>
      </c>
      <c r="N43" s="77" t="s">
        <v>172</v>
      </c>
      <c r="O43" s="88" t="s">
        <v>40</v>
      </c>
      <c r="P43" s="313"/>
      <c r="Q43" s="291"/>
      <c r="R43" s="303"/>
    </row>
    <row r="44" spans="1:18" s="3" customFormat="1" ht="12.75">
      <c r="A44" s="67" t="s">
        <v>114</v>
      </c>
      <c r="B44" s="72"/>
      <c r="C44" s="69">
        <v>650</v>
      </c>
      <c r="D44" s="73">
        <v>6</v>
      </c>
      <c r="E44" s="69">
        <v>150</v>
      </c>
      <c r="F44" s="69">
        <v>180</v>
      </c>
      <c r="G44" s="69" t="s">
        <v>169</v>
      </c>
      <c r="H44" s="69">
        <v>0.9</v>
      </c>
      <c r="I44" s="69" t="s">
        <v>33</v>
      </c>
      <c r="J44" s="69" t="s">
        <v>35</v>
      </c>
      <c r="K44" s="69" t="s">
        <v>33</v>
      </c>
      <c r="L44" s="69" t="s">
        <v>35</v>
      </c>
      <c r="M44" s="69" t="s">
        <v>34</v>
      </c>
      <c r="N44" s="69" t="s">
        <v>172</v>
      </c>
      <c r="O44" s="88" t="s">
        <v>163</v>
      </c>
      <c r="P44" s="313"/>
      <c r="Q44" s="291"/>
      <c r="R44" s="303"/>
    </row>
    <row r="45" spans="1:18" s="3" customFormat="1" ht="12.75">
      <c r="A45" s="67" t="s">
        <v>177</v>
      </c>
      <c r="B45" s="72"/>
      <c r="C45" s="69">
        <v>650</v>
      </c>
      <c r="D45" s="73">
        <v>8</v>
      </c>
      <c r="E45" s="69">
        <v>200</v>
      </c>
      <c r="F45" s="69">
        <v>230</v>
      </c>
      <c r="G45" s="69" t="s">
        <v>169</v>
      </c>
      <c r="H45" s="69">
        <v>0.9</v>
      </c>
      <c r="I45" s="69" t="s">
        <v>33</v>
      </c>
      <c r="J45" s="69" t="s">
        <v>35</v>
      </c>
      <c r="K45" s="69" t="s">
        <v>33</v>
      </c>
      <c r="L45" s="69" t="s">
        <v>35</v>
      </c>
      <c r="M45" s="69" t="s">
        <v>34</v>
      </c>
      <c r="N45" s="69" t="s">
        <v>109</v>
      </c>
      <c r="O45" s="88" t="s">
        <v>166</v>
      </c>
      <c r="P45" s="313"/>
      <c r="Q45" s="291"/>
      <c r="R45" s="303"/>
    </row>
    <row r="46" spans="1:18" s="93" customFormat="1" ht="12.75">
      <c r="A46" s="89" t="s">
        <v>178</v>
      </c>
      <c r="B46" s="68"/>
      <c r="C46" s="90">
        <v>650</v>
      </c>
      <c r="D46" s="91">
        <v>8</v>
      </c>
      <c r="E46" s="90">
        <v>200</v>
      </c>
      <c r="F46" s="90">
        <v>230</v>
      </c>
      <c r="G46" s="90" t="s">
        <v>169</v>
      </c>
      <c r="H46" s="90">
        <v>0.9</v>
      </c>
      <c r="I46" s="90" t="s">
        <v>33</v>
      </c>
      <c r="J46" s="90" t="s">
        <v>35</v>
      </c>
      <c r="K46" s="90" t="s">
        <v>33</v>
      </c>
      <c r="L46" s="90" t="s">
        <v>35</v>
      </c>
      <c r="M46" s="90" t="s">
        <v>34</v>
      </c>
      <c r="N46" s="90" t="s">
        <v>109</v>
      </c>
      <c r="O46" s="92" t="s">
        <v>166</v>
      </c>
      <c r="P46" s="313"/>
      <c r="Q46" s="291"/>
      <c r="R46" s="303"/>
    </row>
    <row r="47" spans="1:18" s="93" customFormat="1" ht="12.75">
      <c r="A47" s="59" t="s">
        <v>179</v>
      </c>
      <c r="B47" s="60"/>
      <c r="C47" s="61">
        <v>650</v>
      </c>
      <c r="D47" s="62">
        <v>11.5</v>
      </c>
      <c r="E47" s="61">
        <v>270</v>
      </c>
      <c r="F47" s="61">
        <v>300</v>
      </c>
      <c r="G47" s="61" t="s">
        <v>169</v>
      </c>
      <c r="H47" s="61">
        <v>0.65</v>
      </c>
      <c r="I47" s="61" t="s">
        <v>33</v>
      </c>
      <c r="J47" s="61" t="s">
        <v>35</v>
      </c>
      <c r="K47" s="61" t="s">
        <v>33</v>
      </c>
      <c r="L47" s="61" t="s">
        <v>35</v>
      </c>
      <c r="M47" s="61" t="s">
        <v>34</v>
      </c>
      <c r="N47" s="61" t="s">
        <v>109</v>
      </c>
      <c r="O47" s="94" t="s">
        <v>175</v>
      </c>
      <c r="P47" s="314"/>
      <c r="Q47" s="292"/>
      <c r="R47" s="306"/>
    </row>
    <row r="48" spans="1:18" s="9" customFormat="1" ht="15">
      <c r="A48" s="318" t="s">
        <v>180</v>
      </c>
      <c r="B48" s="318"/>
      <c r="C48" s="318"/>
      <c r="D48" s="318"/>
      <c r="E48" s="96"/>
      <c r="F48" s="96"/>
      <c r="G48" s="96"/>
      <c r="H48" s="96"/>
      <c r="I48" s="97"/>
      <c r="J48" s="97"/>
      <c r="K48" s="97"/>
      <c r="L48" s="97"/>
      <c r="M48" s="97"/>
      <c r="N48" s="98"/>
      <c r="O48" s="99"/>
      <c r="P48" s="96"/>
      <c r="Q48" s="100"/>
      <c r="R48" s="96"/>
    </row>
    <row r="49" spans="1:18" s="18" customFormat="1" ht="12.75">
      <c r="A49" s="10" t="s">
        <v>181</v>
      </c>
      <c r="B49" s="11" t="s">
        <v>182</v>
      </c>
      <c r="C49" s="12">
        <v>650</v>
      </c>
      <c r="D49" s="101">
        <v>2</v>
      </c>
      <c r="E49" s="12">
        <v>55</v>
      </c>
      <c r="F49" s="12">
        <v>65</v>
      </c>
      <c r="G49" s="12">
        <v>70</v>
      </c>
      <c r="H49" s="12">
        <v>1.6</v>
      </c>
      <c r="I49" s="12" t="s">
        <v>33</v>
      </c>
      <c r="J49" s="12" t="s">
        <v>33</v>
      </c>
      <c r="K49" s="12" t="s">
        <v>33</v>
      </c>
      <c r="L49" s="12" t="s">
        <v>35</v>
      </c>
      <c r="M49" s="12" t="s">
        <v>36</v>
      </c>
      <c r="N49" s="12" t="s">
        <v>172</v>
      </c>
      <c r="O49" s="310" t="s">
        <v>38</v>
      </c>
      <c r="P49" s="294" t="s">
        <v>183</v>
      </c>
      <c r="Q49" s="290" t="s">
        <v>184</v>
      </c>
      <c r="R49" s="307" t="s">
        <v>185</v>
      </c>
    </row>
    <row r="50" spans="1:18" s="109" customFormat="1" ht="12.75">
      <c r="A50" s="104" t="s">
        <v>186</v>
      </c>
      <c r="B50" s="105"/>
      <c r="C50" s="106">
        <v>650</v>
      </c>
      <c r="D50" s="107">
        <v>3.2</v>
      </c>
      <c r="E50" s="106">
        <v>80</v>
      </c>
      <c r="F50" s="106">
        <v>95</v>
      </c>
      <c r="G50" s="106">
        <v>70</v>
      </c>
      <c r="H50" s="106">
        <v>0.9</v>
      </c>
      <c r="I50" s="61" t="s">
        <v>33</v>
      </c>
      <c r="J50" s="61" t="s">
        <v>33</v>
      </c>
      <c r="K50" s="61" t="s">
        <v>33</v>
      </c>
      <c r="L50" s="61" t="s">
        <v>35</v>
      </c>
      <c r="M50" s="61" t="s">
        <v>36</v>
      </c>
      <c r="N50" s="106" t="s">
        <v>172</v>
      </c>
      <c r="O50" s="311"/>
      <c r="P50" s="295"/>
      <c r="Q50" s="292"/>
      <c r="R50" s="308"/>
    </row>
    <row r="51" spans="1:18" s="18" customFormat="1" ht="12.75">
      <c r="A51" s="24" t="s">
        <v>187</v>
      </c>
      <c r="B51" s="25" t="s">
        <v>102</v>
      </c>
      <c r="C51" s="26">
        <v>650</v>
      </c>
      <c r="D51" s="27">
        <v>4</v>
      </c>
      <c r="E51" s="26">
        <v>80</v>
      </c>
      <c r="F51" s="26">
        <v>100</v>
      </c>
      <c r="G51" s="26" t="s">
        <v>160</v>
      </c>
      <c r="H51" s="26">
        <v>1.6</v>
      </c>
      <c r="I51" s="26" t="s">
        <v>33</v>
      </c>
      <c r="J51" s="26" t="s">
        <v>33</v>
      </c>
      <c r="K51" s="26" t="s">
        <v>33</v>
      </c>
      <c r="L51" s="26" t="s">
        <v>33</v>
      </c>
      <c r="M51" s="26" t="s">
        <v>36</v>
      </c>
      <c r="N51" s="26" t="s">
        <v>145</v>
      </c>
      <c r="O51" s="34" t="s">
        <v>104</v>
      </c>
      <c r="P51" s="289" t="s">
        <v>41</v>
      </c>
      <c r="Q51" s="291" t="s">
        <v>188</v>
      </c>
      <c r="R51" s="303" t="s">
        <v>185</v>
      </c>
    </row>
    <row r="52" spans="1:18" s="18" customFormat="1" ht="12.75">
      <c r="A52" s="24" t="s">
        <v>47</v>
      </c>
      <c r="B52" s="25" t="s">
        <v>162</v>
      </c>
      <c r="C52" s="26">
        <v>650</v>
      </c>
      <c r="D52" s="27">
        <v>6</v>
      </c>
      <c r="E52" s="26">
        <v>120</v>
      </c>
      <c r="F52" s="26">
        <v>145</v>
      </c>
      <c r="G52" s="26" t="s">
        <v>44</v>
      </c>
      <c r="H52" s="26">
        <v>1.2</v>
      </c>
      <c r="I52" s="26" t="s">
        <v>33</v>
      </c>
      <c r="J52" s="26" t="s">
        <v>35</v>
      </c>
      <c r="K52" s="26" t="s">
        <v>33</v>
      </c>
      <c r="L52" s="26" t="s">
        <v>35</v>
      </c>
      <c r="M52" s="26" t="s">
        <v>36</v>
      </c>
      <c r="N52" s="26" t="s">
        <v>46</v>
      </c>
      <c r="O52" s="34" t="s">
        <v>45</v>
      </c>
      <c r="P52" s="289"/>
      <c r="Q52" s="291"/>
      <c r="R52" s="303"/>
    </row>
    <row r="53" spans="1:18" s="82" customFormat="1" ht="12.75">
      <c r="A53" s="76" t="s">
        <v>189</v>
      </c>
      <c r="B53" s="110"/>
      <c r="C53" s="77">
        <v>650</v>
      </c>
      <c r="D53" s="79">
        <v>6</v>
      </c>
      <c r="E53" s="77">
        <v>120</v>
      </c>
      <c r="F53" s="77">
        <v>145</v>
      </c>
      <c r="G53" s="77" t="s">
        <v>160</v>
      </c>
      <c r="H53" s="77">
        <v>1.2</v>
      </c>
      <c r="I53" s="69" t="s">
        <v>33</v>
      </c>
      <c r="J53" s="69" t="s">
        <v>35</v>
      </c>
      <c r="K53" s="69" t="s">
        <v>33</v>
      </c>
      <c r="L53" s="69" t="s">
        <v>35</v>
      </c>
      <c r="M53" s="69" t="s">
        <v>36</v>
      </c>
      <c r="N53" s="77" t="s">
        <v>90</v>
      </c>
      <c r="O53" s="80" t="s">
        <v>45</v>
      </c>
      <c r="P53" s="289"/>
      <c r="Q53" s="291"/>
      <c r="R53" s="303"/>
    </row>
    <row r="54" spans="1:18" s="82" customFormat="1" ht="12.75">
      <c r="A54" s="76" t="s">
        <v>162</v>
      </c>
      <c r="B54" s="110"/>
      <c r="C54" s="77">
        <v>650</v>
      </c>
      <c r="D54" s="79">
        <v>6</v>
      </c>
      <c r="E54" s="77">
        <v>120</v>
      </c>
      <c r="F54" s="77">
        <v>145</v>
      </c>
      <c r="G54" s="77" t="s">
        <v>160</v>
      </c>
      <c r="H54" s="77">
        <v>1.2</v>
      </c>
      <c r="I54" s="77" t="s">
        <v>33</v>
      </c>
      <c r="J54" s="77" t="s">
        <v>33</v>
      </c>
      <c r="K54" s="77" t="s">
        <v>33</v>
      </c>
      <c r="L54" s="77" t="s">
        <v>33</v>
      </c>
      <c r="M54" s="77" t="s">
        <v>36</v>
      </c>
      <c r="N54" s="77" t="s">
        <v>145</v>
      </c>
      <c r="O54" s="80" t="s">
        <v>45</v>
      </c>
      <c r="P54" s="289"/>
      <c r="Q54" s="291"/>
      <c r="R54" s="303"/>
    </row>
    <row r="55" spans="1:18" s="82" customFormat="1" ht="12.75">
      <c r="A55" s="76" t="s">
        <v>165</v>
      </c>
      <c r="B55" s="110"/>
      <c r="C55" s="77">
        <v>650</v>
      </c>
      <c r="D55" s="79">
        <v>8</v>
      </c>
      <c r="E55" s="77">
        <v>160</v>
      </c>
      <c r="F55" s="77">
        <v>190</v>
      </c>
      <c r="G55" s="77" t="s">
        <v>160</v>
      </c>
      <c r="H55" s="77">
        <v>0.9</v>
      </c>
      <c r="I55" s="69" t="s">
        <v>33</v>
      </c>
      <c r="J55" s="69" t="s">
        <v>33</v>
      </c>
      <c r="K55" s="69" t="s">
        <v>33</v>
      </c>
      <c r="L55" s="69" t="s">
        <v>33</v>
      </c>
      <c r="M55" s="69" t="s">
        <v>36</v>
      </c>
      <c r="N55" s="77" t="s">
        <v>90</v>
      </c>
      <c r="O55" s="80" t="s">
        <v>166</v>
      </c>
      <c r="P55" s="289"/>
      <c r="Q55" s="291"/>
      <c r="R55" s="303"/>
    </row>
    <row r="56" spans="1:18" s="82" customFormat="1" ht="12.75">
      <c r="A56" s="76" t="s">
        <v>190</v>
      </c>
      <c r="B56" s="110"/>
      <c r="C56" s="77">
        <v>650</v>
      </c>
      <c r="D56" s="79">
        <v>9.7</v>
      </c>
      <c r="E56" s="77">
        <v>200</v>
      </c>
      <c r="F56" s="77">
        <v>240</v>
      </c>
      <c r="G56" s="77" t="s">
        <v>160</v>
      </c>
      <c r="H56" s="77">
        <v>0.65</v>
      </c>
      <c r="I56" s="69" t="s">
        <v>33</v>
      </c>
      <c r="J56" s="69" t="s">
        <v>33</v>
      </c>
      <c r="K56" s="69" t="s">
        <v>33</v>
      </c>
      <c r="L56" s="69" t="s">
        <v>33</v>
      </c>
      <c r="M56" s="69" t="s">
        <v>36</v>
      </c>
      <c r="N56" s="77" t="s">
        <v>37</v>
      </c>
      <c r="O56" s="80" t="s">
        <v>175</v>
      </c>
      <c r="P56" s="289"/>
      <c r="Q56" s="291"/>
      <c r="R56" s="303"/>
    </row>
    <row r="57" spans="1:18" s="82" customFormat="1" ht="12.75">
      <c r="A57" s="83" t="s">
        <v>88</v>
      </c>
      <c r="B57" s="84"/>
      <c r="C57" s="85">
        <v>800</v>
      </c>
      <c r="D57" s="86">
        <v>4</v>
      </c>
      <c r="E57" s="85">
        <v>80</v>
      </c>
      <c r="F57" s="85">
        <v>100</v>
      </c>
      <c r="G57" s="85">
        <v>66</v>
      </c>
      <c r="H57" s="86">
        <v>2</v>
      </c>
      <c r="I57" s="85" t="s">
        <v>35</v>
      </c>
      <c r="J57" s="85" t="s">
        <v>35</v>
      </c>
      <c r="K57" s="85" t="s">
        <v>35</v>
      </c>
      <c r="L57" s="85" t="s">
        <v>35</v>
      </c>
      <c r="M57" s="85" t="s">
        <v>36</v>
      </c>
      <c r="N57" s="85" t="s">
        <v>37</v>
      </c>
      <c r="O57" s="102" t="s">
        <v>38</v>
      </c>
      <c r="P57" s="294" t="s">
        <v>191</v>
      </c>
      <c r="Q57" s="353" t="s">
        <v>192</v>
      </c>
      <c r="R57" s="307"/>
    </row>
    <row r="58" spans="1:18" s="93" customFormat="1" ht="13.5" customHeight="1">
      <c r="A58" s="104" t="s">
        <v>97</v>
      </c>
      <c r="B58" s="105"/>
      <c r="C58" s="106">
        <v>800</v>
      </c>
      <c r="D58" s="112">
        <v>5</v>
      </c>
      <c r="E58" s="106">
        <v>110</v>
      </c>
      <c r="F58" s="106">
        <v>130</v>
      </c>
      <c r="G58" s="106">
        <v>66</v>
      </c>
      <c r="H58" s="106">
        <v>1.5</v>
      </c>
      <c r="I58" s="106" t="s">
        <v>35</v>
      </c>
      <c r="J58" s="106" t="s">
        <v>35</v>
      </c>
      <c r="K58" s="106" t="s">
        <v>35</v>
      </c>
      <c r="L58" s="106" t="s">
        <v>35</v>
      </c>
      <c r="M58" s="106" t="s">
        <v>193</v>
      </c>
      <c r="N58" s="106" t="s">
        <v>90</v>
      </c>
      <c r="O58" s="108" t="s">
        <v>91</v>
      </c>
      <c r="P58" s="295"/>
      <c r="Q58" s="354"/>
      <c r="R58" s="308"/>
    </row>
    <row r="59" spans="1:18" s="82" customFormat="1" ht="13.5" customHeight="1">
      <c r="A59" s="76" t="s">
        <v>102</v>
      </c>
      <c r="B59" s="110"/>
      <c r="C59" s="77">
        <v>650</v>
      </c>
      <c r="D59" s="79">
        <v>4</v>
      </c>
      <c r="E59" s="77">
        <v>80</v>
      </c>
      <c r="F59" s="77">
        <v>100</v>
      </c>
      <c r="G59" s="77" t="s">
        <v>44</v>
      </c>
      <c r="H59" s="77">
        <v>1.6</v>
      </c>
      <c r="I59" s="77" t="s">
        <v>33</v>
      </c>
      <c r="J59" s="77" t="s">
        <v>33</v>
      </c>
      <c r="K59" s="77" t="s">
        <v>34</v>
      </c>
      <c r="L59" s="77" t="s">
        <v>33</v>
      </c>
      <c r="M59" s="77" t="s">
        <v>36</v>
      </c>
      <c r="N59" s="77" t="s">
        <v>43</v>
      </c>
      <c r="O59" s="80" t="s">
        <v>48</v>
      </c>
      <c r="P59" s="106"/>
      <c r="Q59" s="114"/>
      <c r="R59" s="115" t="s">
        <v>194</v>
      </c>
    </row>
    <row r="60" spans="1:18" s="82" customFormat="1" ht="13.5" customHeight="1">
      <c r="A60" s="83" t="s">
        <v>195</v>
      </c>
      <c r="B60" s="84"/>
      <c r="C60" s="85">
        <v>200</v>
      </c>
      <c r="D60" s="86">
        <v>3.2</v>
      </c>
      <c r="E60" s="116">
        <v>40</v>
      </c>
      <c r="F60" s="117" t="s">
        <v>196</v>
      </c>
      <c r="G60" s="85">
        <v>300</v>
      </c>
      <c r="H60" s="85">
        <v>0.3</v>
      </c>
      <c r="I60" s="52" t="s">
        <v>142</v>
      </c>
      <c r="J60" s="52" t="s">
        <v>171</v>
      </c>
      <c r="K60" s="52" t="s">
        <v>142</v>
      </c>
      <c r="L60" s="52" t="s">
        <v>142</v>
      </c>
      <c r="M60" s="85" t="s">
        <v>171</v>
      </c>
      <c r="N60" s="85" t="s">
        <v>172</v>
      </c>
      <c r="O60" s="102" t="s">
        <v>197</v>
      </c>
      <c r="P60" s="294" t="s">
        <v>198</v>
      </c>
      <c r="Q60" s="111"/>
      <c r="R60" s="103"/>
    </row>
    <row r="61" spans="1:18" s="93" customFormat="1" ht="13.5" customHeight="1">
      <c r="A61" s="118" t="s">
        <v>199</v>
      </c>
      <c r="B61" s="119"/>
      <c r="C61" s="120">
        <v>200</v>
      </c>
      <c r="D61" s="121">
        <v>3.2</v>
      </c>
      <c r="E61" s="122">
        <v>40</v>
      </c>
      <c r="F61" s="123" t="s">
        <v>49</v>
      </c>
      <c r="G61" s="120">
        <v>300</v>
      </c>
      <c r="H61" s="120">
        <v>0.3</v>
      </c>
      <c r="I61" s="120" t="s">
        <v>33</v>
      </c>
      <c r="J61" s="120" t="s">
        <v>34</v>
      </c>
      <c r="K61" s="120" t="s">
        <v>33</v>
      </c>
      <c r="L61" s="120" t="s">
        <v>33</v>
      </c>
      <c r="M61" s="120" t="s">
        <v>171</v>
      </c>
      <c r="N61" s="120" t="s">
        <v>200</v>
      </c>
      <c r="O61" s="123" t="s">
        <v>50</v>
      </c>
      <c r="P61" s="295"/>
      <c r="Q61" s="124"/>
      <c r="R61" s="125"/>
    </row>
    <row r="62" spans="1:18" s="9" customFormat="1" ht="15">
      <c r="A62" s="323" t="s">
        <v>201</v>
      </c>
      <c r="B62" s="323"/>
      <c r="C62" s="323"/>
      <c r="D62" s="323"/>
      <c r="E62" s="96"/>
      <c r="F62" s="96"/>
      <c r="G62" s="96"/>
      <c r="H62" s="96"/>
      <c r="I62" s="97"/>
      <c r="J62" s="97"/>
      <c r="K62" s="97"/>
      <c r="L62" s="97"/>
      <c r="M62" s="97"/>
      <c r="N62" s="98"/>
      <c r="O62" s="99"/>
      <c r="P62" s="96"/>
      <c r="Q62" s="100"/>
      <c r="R62" s="37"/>
    </row>
    <row r="63" spans="1:19" s="18" customFormat="1" ht="13.5">
      <c r="A63" s="10" t="s">
        <v>202</v>
      </c>
      <c r="B63" s="11" t="s">
        <v>203</v>
      </c>
      <c r="C63" s="12">
        <v>650</v>
      </c>
      <c r="D63" s="12">
        <v>0.6</v>
      </c>
      <c r="E63" s="12" t="s">
        <v>204</v>
      </c>
      <c r="F63" s="12" t="s">
        <v>204</v>
      </c>
      <c r="G63" s="12">
        <v>100</v>
      </c>
      <c r="H63" s="12">
        <v>18</v>
      </c>
      <c r="I63" s="12" t="s">
        <v>33</v>
      </c>
      <c r="J63" s="12" t="s">
        <v>34</v>
      </c>
      <c r="K63" s="12" t="s">
        <v>34</v>
      </c>
      <c r="L63" s="12" t="s">
        <v>33</v>
      </c>
      <c r="M63" s="12" t="s">
        <v>34</v>
      </c>
      <c r="N63" s="12" t="s">
        <v>205</v>
      </c>
      <c r="O63" s="15" t="s">
        <v>206</v>
      </c>
      <c r="P63" s="294" t="s">
        <v>120</v>
      </c>
      <c r="Q63" s="290" t="s">
        <v>207</v>
      </c>
      <c r="R63" s="307" t="s">
        <v>208</v>
      </c>
      <c r="S63" s="126"/>
    </row>
    <row r="64" spans="1:19" s="18" customFormat="1" ht="13.5">
      <c r="A64" s="24" t="s">
        <v>209</v>
      </c>
      <c r="B64" s="25" t="s">
        <v>203</v>
      </c>
      <c r="C64" s="26">
        <v>650</v>
      </c>
      <c r="D64" s="26">
        <v>0.48</v>
      </c>
      <c r="E64" s="26" t="s">
        <v>204</v>
      </c>
      <c r="F64" s="26" t="s">
        <v>204</v>
      </c>
      <c r="G64" s="26">
        <v>100</v>
      </c>
      <c r="H64" s="26">
        <v>18</v>
      </c>
      <c r="I64" s="26" t="s">
        <v>33</v>
      </c>
      <c r="J64" s="26" t="s">
        <v>34</v>
      </c>
      <c r="K64" s="26" t="s">
        <v>34</v>
      </c>
      <c r="L64" s="26" t="s">
        <v>33</v>
      </c>
      <c r="M64" s="26" t="s">
        <v>34</v>
      </c>
      <c r="N64" s="26" t="s">
        <v>205</v>
      </c>
      <c r="O64" s="34" t="s">
        <v>206</v>
      </c>
      <c r="P64" s="289"/>
      <c r="Q64" s="291"/>
      <c r="R64" s="355"/>
      <c r="S64" s="126"/>
    </row>
    <row r="65" spans="1:18" s="18" customFormat="1" ht="12.75">
      <c r="A65" s="28" t="s">
        <v>210</v>
      </c>
      <c r="B65" s="29" t="s">
        <v>211</v>
      </c>
      <c r="C65" s="30">
        <v>650</v>
      </c>
      <c r="D65" s="30">
        <v>0.3</v>
      </c>
      <c r="E65" s="30" t="s">
        <v>212</v>
      </c>
      <c r="F65" s="30" t="s">
        <v>212</v>
      </c>
      <c r="G65" s="30">
        <v>100</v>
      </c>
      <c r="H65" s="30">
        <v>38</v>
      </c>
      <c r="I65" s="30" t="s">
        <v>33</v>
      </c>
      <c r="J65" s="30" t="s">
        <v>171</v>
      </c>
      <c r="K65" s="30" t="s">
        <v>171</v>
      </c>
      <c r="L65" s="30" t="s">
        <v>33</v>
      </c>
      <c r="M65" s="30" t="s">
        <v>34</v>
      </c>
      <c r="N65" s="30" t="s">
        <v>205</v>
      </c>
      <c r="O65" s="35" t="s">
        <v>213</v>
      </c>
      <c r="P65" s="295"/>
      <c r="Q65" s="292"/>
      <c r="R65" s="308"/>
    </row>
    <row r="66" spans="1:18" s="82" customFormat="1" ht="12.75">
      <c r="A66" s="83" t="s">
        <v>214</v>
      </c>
      <c r="B66" s="84"/>
      <c r="C66" s="85">
        <v>700</v>
      </c>
      <c r="D66" s="85">
        <v>0.3</v>
      </c>
      <c r="E66" s="85" t="s">
        <v>52</v>
      </c>
      <c r="F66" s="85" t="s">
        <v>215</v>
      </c>
      <c r="G66" s="85">
        <v>134</v>
      </c>
      <c r="H66" s="85">
        <v>32</v>
      </c>
      <c r="I66" s="85" t="s">
        <v>33</v>
      </c>
      <c r="J66" s="85" t="s">
        <v>34</v>
      </c>
      <c r="K66" s="85" t="s">
        <v>34</v>
      </c>
      <c r="L66" s="85" t="s">
        <v>33</v>
      </c>
      <c r="M66" s="85" t="s">
        <v>36</v>
      </c>
      <c r="N66" s="85" t="s">
        <v>216</v>
      </c>
      <c r="O66" s="102" t="s">
        <v>53</v>
      </c>
      <c r="P66" s="294" t="s">
        <v>120</v>
      </c>
      <c r="Q66" s="111"/>
      <c r="R66" s="307" t="s">
        <v>208</v>
      </c>
    </row>
    <row r="67" spans="1:18" s="82" customFormat="1" ht="13.5" customHeight="1">
      <c r="A67" s="104" t="s">
        <v>217</v>
      </c>
      <c r="B67" s="105"/>
      <c r="C67" s="106">
        <v>700</v>
      </c>
      <c r="D67" s="106">
        <v>0.3</v>
      </c>
      <c r="E67" s="106" t="s">
        <v>52</v>
      </c>
      <c r="F67" s="106" t="s">
        <v>215</v>
      </c>
      <c r="G67" s="106">
        <v>134</v>
      </c>
      <c r="H67" s="106">
        <v>32</v>
      </c>
      <c r="I67" s="106" t="s">
        <v>142</v>
      </c>
      <c r="J67" s="106" t="s">
        <v>34</v>
      </c>
      <c r="K67" s="106" t="s">
        <v>34</v>
      </c>
      <c r="L67" s="106" t="s">
        <v>142</v>
      </c>
      <c r="M67" s="106" t="s">
        <v>193</v>
      </c>
      <c r="N67" s="106" t="s">
        <v>216</v>
      </c>
      <c r="O67" s="108" t="s">
        <v>53</v>
      </c>
      <c r="P67" s="295"/>
      <c r="Q67" s="113"/>
      <c r="R67" s="308"/>
    </row>
    <row r="68" spans="1:18" s="82" customFormat="1" ht="13.5" customHeight="1">
      <c r="A68" s="76" t="s">
        <v>203</v>
      </c>
      <c r="B68" s="110"/>
      <c r="C68" s="77">
        <v>650</v>
      </c>
      <c r="D68" s="77">
        <v>0.48</v>
      </c>
      <c r="E68" s="77" t="s">
        <v>51</v>
      </c>
      <c r="F68" s="77" t="s">
        <v>51</v>
      </c>
      <c r="G68" s="77">
        <v>70</v>
      </c>
      <c r="H68" s="77">
        <v>19</v>
      </c>
      <c r="I68" s="77" t="s">
        <v>142</v>
      </c>
      <c r="J68" s="77" t="s">
        <v>171</v>
      </c>
      <c r="K68" s="77" t="s">
        <v>142</v>
      </c>
      <c r="L68" s="77" t="s">
        <v>142</v>
      </c>
      <c r="M68" s="77" t="s">
        <v>193</v>
      </c>
      <c r="N68" s="77" t="s">
        <v>118</v>
      </c>
      <c r="O68" s="80" t="s">
        <v>218</v>
      </c>
      <c r="P68" s="287" t="s">
        <v>219</v>
      </c>
      <c r="Q68" s="114"/>
      <c r="R68" s="342" t="s">
        <v>220</v>
      </c>
    </row>
    <row r="69" spans="1:18" s="93" customFormat="1" ht="13.5" customHeight="1">
      <c r="A69" s="118" t="s">
        <v>221</v>
      </c>
      <c r="B69" s="119"/>
      <c r="C69" s="120">
        <v>650</v>
      </c>
      <c r="D69" s="120">
        <v>1.2</v>
      </c>
      <c r="E69" s="120">
        <v>15</v>
      </c>
      <c r="F69" s="120">
        <v>17</v>
      </c>
      <c r="G69" s="120">
        <v>50</v>
      </c>
      <c r="H69" s="120">
        <v>10</v>
      </c>
      <c r="I69" s="120" t="s">
        <v>33</v>
      </c>
      <c r="J69" s="120" t="s">
        <v>142</v>
      </c>
      <c r="K69" s="120" t="s">
        <v>33</v>
      </c>
      <c r="L69" s="120" t="s">
        <v>33</v>
      </c>
      <c r="M69" s="120" t="s">
        <v>36</v>
      </c>
      <c r="N69" s="120" t="s">
        <v>118</v>
      </c>
      <c r="O69" s="123"/>
      <c r="P69" s="288"/>
      <c r="Q69" s="124"/>
      <c r="R69" s="343"/>
    </row>
    <row r="70" spans="1:18" s="93" customFormat="1" ht="12.75">
      <c r="A70" s="128" t="s">
        <v>222</v>
      </c>
      <c r="B70" s="129"/>
      <c r="C70" s="130">
        <v>700</v>
      </c>
      <c r="D70" s="130"/>
      <c r="E70" s="130"/>
      <c r="F70" s="130"/>
      <c r="G70" s="130"/>
      <c r="H70" s="130"/>
      <c r="I70" s="130"/>
      <c r="J70" s="130"/>
      <c r="K70" s="130"/>
      <c r="L70" s="130"/>
      <c r="M70" s="130"/>
      <c r="N70" s="130" t="s">
        <v>223</v>
      </c>
      <c r="O70" s="131"/>
      <c r="P70" s="130" t="s">
        <v>224</v>
      </c>
      <c r="Q70" s="132"/>
      <c r="R70" s="133" t="s">
        <v>208</v>
      </c>
    </row>
    <row r="71" spans="1:18" s="93" customFormat="1" ht="12.75">
      <c r="A71" s="89" t="s">
        <v>225</v>
      </c>
      <c r="B71" s="68"/>
      <c r="C71" s="90">
        <v>650</v>
      </c>
      <c r="D71" s="91">
        <v>1.2</v>
      </c>
      <c r="E71" s="90">
        <v>15</v>
      </c>
      <c r="F71" s="90">
        <v>17</v>
      </c>
      <c r="G71" s="90">
        <v>50</v>
      </c>
      <c r="H71" s="91">
        <v>10</v>
      </c>
      <c r="I71" s="90" t="s">
        <v>142</v>
      </c>
      <c r="J71" s="90" t="s">
        <v>33</v>
      </c>
      <c r="K71" s="90" t="s">
        <v>142</v>
      </c>
      <c r="L71" s="90" t="s">
        <v>142</v>
      </c>
      <c r="M71" s="90" t="s">
        <v>193</v>
      </c>
      <c r="N71" s="90" t="s">
        <v>226</v>
      </c>
      <c r="O71" s="134"/>
      <c r="P71" s="286" t="s">
        <v>227</v>
      </c>
      <c r="Q71" s="135"/>
      <c r="R71" s="127"/>
    </row>
    <row r="72" spans="1:18" s="93" customFormat="1" ht="13.5" customHeight="1">
      <c r="A72" s="89" t="s">
        <v>154</v>
      </c>
      <c r="B72" s="68"/>
      <c r="C72" s="90">
        <v>650</v>
      </c>
      <c r="D72" s="90">
        <v>1.5</v>
      </c>
      <c r="E72" s="90">
        <v>20</v>
      </c>
      <c r="F72" s="90">
        <v>23</v>
      </c>
      <c r="G72" s="90" t="s">
        <v>89</v>
      </c>
      <c r="H72" s="91">
        <v>6</v>
      </c>
      <c r="I72" s="90" t="s">
        <v>142</v>
      </c>
      <c r="J72" s="90" t="s">
        <v>33</v>
      </c>
      <c r="K72" s="90" t="s">
        <v>142</v>
      </c>
      <c r="L72" s="90" t="s">
        <v>142</v>
      </c>
      <c r="M72" s="90" t="s">
        <v>193</v>
      </c>
      <c r="N72" s="90" t="s">
        <v>118</v>
      </c>
      <c r="O72" s="134"/>
      <c r="P72" s="287"/>
      <c r="Q72" s="135"/>
      <c r="R72" s="127"/>
    </row>
    <row r="73" spans="1:18" s="93" customFormat="1" ht="13.5" customHeight="1">
      <c r="A73" s="118" t="s">
        <v>157</v>
      </c>
      <c r="B73" s="119"/>
      <c r="C73" s="120">
        <v>650</v>
      </c>
      <c r="D73" s="120">
        <v>2.15</v>
      </c>
      <c r="E73" s="120">
        <v>25</v>
      </c>
      <c r="F73" s="120">
        <v>30</v>
      </c>
      <c r="G73" s="120" t="s">
        <v>84</v>
      </c>
      <c r="H73" s="120">
        <v>4.5</v>
      </c>
      <c r="I73" s="120" t="s">
        <v>142</v>
      </c>
      <c r="J73" s="120" t="s">
        <v>142</v>
      </c>
      <c r="K73" s="120" t="s">
        <v>142</v>
      </c>
      <c r="L73" s="120" t="s">
        <v>142</v>
      </c>
      <c r="M73" s="120" t="s">
        <v>193</v>
      </c>
      <c r="N73" s="120" t="s">
        <v>118</v>
      </c>
      <c r="O73" s="123"/>
      <c r="P73" s="288"/>
      <c r="Q73" s="124"/>
      <c r="R73" s="125"/>
    </row>
    <row r="74" spans="1:18" s="93" customFormat="1" ht="12.75">
      <c r="A74" s="136" t="s">
        <v>132</v>
      </c>
      <c r="B74" s="70"/>
      <c r="C74" s="95">
        <v>650</v>
      </c>
      <c r="D74" s="137">
        <v>2.3</v>
      </c>
      <c r="E74" s="95">
        <v>60</v>
      </c>
      <c r="F74" s="95">
        <v>70</v>
      </c>
      <c r="G74" s="95">
        <v>66</v>
      </c>
      <c r="H74" s="95">
        <v>2.2</v>
      </c>
      <c r="I74" s="95" t="s">
        <v>33</v>
      </c>
      <c r="J74" s="95" t="s">
        <v>33</v>
      </c>
      <c r="K74" s="95" t="s">
        <v>33</v>
      </c>
      <c r="L74" s="95" t="s">
        <v>35</v>
      </c>
      <c r="M74" s="95" t="s">
        <v>36</v>
      </c>
      <c r="N74" s="95" t="s">
        <v>228</v>
      </c>
      <c r="O74" s="138"/>
      <c r="P74" s="286" t="s">
        <v>183</v>
      </c>
      <c r="Q74" s="139"/>
      <c r="R74" s="352"/>
    </row>
    <row r="75" spans="1:18" s="82" customFormat="1" ht="13.5" customHeight="1">
      <c r="A75" s="76" t="s">
        <v>182</v>
      </c>
      <c r="B75" s="110"/>
      <c r="C75" s="77">
        <v>650</v>
      </c>
      <c r="D75" s="79">
        <v>2.5</v>
      </c>
      <c r="E75" s="77">
        <v>75</v>
      </c>
      <c r="F75" s="77">
        <v>85</v>
      </c>
      <c r="G75" s="77">
        <v>66</v>
      </c>
      <c r="H75" s="77">
        <v>1.6</v>
      </c>
      <c r="I75" s="77" t="s">
        <v>142</v>
      </c>
      <c r="J75" s="77" t="s">
        <v>142</v>
      </c>
      <c r="K75" s="77" t="s">
        <v>142</v>
      </c>
      <c r="L75" s="77" t="s">
        <v>170</v>
      </c>
      <c r="M75" s="77" t="s">
        <v>193</v>
      </c>
      <c r="N75" s="77" t="s">
        <v>228</v>
      </c>
      <c r="O75" s="80"/>
      <c r="P75" s="287"/>
      <c r="Q75" s="114"/>
      <c r="R75" s="342"/>
    </row>
    <row r="76" spans="1:18" s="93" customFormat="1" ht="13.5" customHeight="1">
      <c r="A76" s="136" t="s">
        <v>176</v>
      </c>
      <c r="B76" s="70"/>
      <c r="C76" s="95">
        <v>650</v>
      </c>
      <c r="D76" s="137"/>
      <c r="E76" s="95"/>
      <c r="F76" s="95"/>
      <c r="G76" s="95"/>
      <c r="H76" s="95"/>
      <c r="I76" s="95"/>
      <c r="J76" s="95"/>
      <c r="K76" s="95"/>
      <c r="L76" s="95"/>
      <c r="M76" s="95"/>
      <c r="N76" s="95" t="s">
        <v>172</v>
      </c>
      <c r="O76" s="138"/>
      <c r="P76" s="286" t="s">
        <v>229</v>
      </c>
      <c r="Q76" s="139"/>
      <c r="R76" s="140"/>
    </row>
    <row r="77" spans="1:18" s="93" customFormat="1" ht="13.5" customHeight="1">
      <c r="A77" s="89" t="s">
        <v>230</v>
      </c>
      <c r="B77" s="68"/>
      <c r="C77" s="90">
        <v>650</v>
      </c>
      <c r="D77" s="91"/>
      <c r="E77" s="90"/>
      <c r="F77" s="90"/>
      <c r="G77" s="90"/>
      <c r="H77" s="90"/>
      <c r="I77" s="90"/>
      <c r="J77" s="90"/>
      <c r="K77" s="90"/>
      <c r="L77" s="90"/>
      <c r="M77" s="90"/>
      <c r="N77" s="90" t="s">
        <v>172</v>
      </c>
      <c r="O77" s="134"/>
      <c r="P77" s="287"/>
      <c r="Q77" s="135"/>
      <c r="R77" s="127"/>
    </row>
    <row r="78" spans="1:18" s="93" customFormat="1" ht="13.5" customHeight="1">
      <c r="A78" s="89" t="s">
        <v>231</v>
      </c>
      <c r="B78" s="68"/>
      <c r="C78" s="90">
        <v>650</v>
      </c>
      <c r="D78" s="91"/>
      <c r="E78" s="90"/>
      <c r="F78" s="90"/>
      <c r="G78" s="90"/>
      <c r="H78" s="90"/>
      <c r="I78" s="90"/>
      <c r="J78" s="90"/>
      <c r="K78" s="90"/>
      <c r="L78" s="90"/>
      <c r="M78" s="90"/>
      <c r="N78" s="90" t="s">
        <v>232</v>
      </c>
      <c r="O78" s="134"/>
      <c r="P78" s="287"/>
      <c r="Q78" s="135"/>
      <c r="R78" s="127"/>
    </row>
    <row r="79" spans="1:18" s="93" customFormat="1" ht="13.5" customHeight="1">
      <c r="A79" s="118" t="s">
        <v>233</v>
      </c>
      <c r="B79" s="119"/>
      <c r="C79" s="120">
        <v>650</v>
      </c>
      <c r="D79" s="121"/>
      <c r="E79" s="120"/>
      <c r="F79" s="120"/>
      <c r="G79" s="120"/>
      <c r="H79" s="120"/>
      <c r="I79" s="120"/>
      <c r="J79" s="120"/>
      <c r="K79" s="120"/>
      <c r="L79" s="120"/>
      <c r="M79" s="120"/>
      <c r="N79" s="120" t="s">
        <v>232</v>
      </c>
      <c r="O79" s="123"/>
      <c r="P79" s="288"/>
      <c r="Q79" s="124"/>
      <c r="R79" s="125"/>
    </row>
    <row r="80" spans="1:16" s="109" customFormat="1" ht="12.75">
      <c r="A80" s="141"/>
      <c r="B80" s="142"/>
      <c r="C80" s="143"/>
      <c r="D80" s="144"/>
      <c r="E80" s="143"/>
      <c r="F80" s="143"/>
      <c r="G80" s="143"/>
      <c r="H80" s="143"/>
      <c r="I80" s="145" t="s">
        <v>234</v>
      </c>
      <c r="J80" s="143"/>
      <c r="K80" s="143"/>
      <c r="L80" s="143"/>
      <c r="M80" s="143"/>
      <c r="N80" s="143"/>
      <c r="O80" s="146"/>
      <c r="P80" s="146"/>
    </row>
    <row r="81" spans="1:16" s="3" customFormat="1" ht="12.75">
      <c r="A81" s="147" t="s">
        <v>54</v>
      </c>
      <c r="B81" s="148"/>
      <c r="C81" s="149"/>
      <c r="D81" s="149"/>
      <c r="E81" s="149"/>
      <c r="F81" s="149"/>
      <c r="G81" s="149"/>
      <c r="H81" s="149"/>
      <c r="I81" s="149"/>
      <c r="J81" s="149"/>
      <c r="K81" s="149"/>
      <c r="L81" s="149"/>
      <c r="M81" s="149"/>
      <c r="N81" s="146"/>
      <c r="O81" s="146"/>
      <c r="P81" s="149"/>
    </row>
    <row r="82" spans="1:15" s="82" customFormat="1" ht="12.75">
      <c r="A82" s="150" t="s">
        <v>235</v>
      </c>
      <c r="B82" s="151"/>
      <c r="C82" s="152"/>
      <c r="D82" s="152"/>
      <c r="E82" s="152"/>
      <c r="F82" s="152"/>
      <c r="G82" s="152"/>
      <c r="H82" s="152"/>
      <c r="N82" s="153"/>
      <c r="O82" s="153"/>
    </row>
    <row r="83" spans="1:15" s="82" customFormat="1" ht="12.75">
      <c r="A83" s="154" t="s">
        <v>236</v>
      </c>
      <c r="B83" s="155" t="s">
        <v>237</v>
      </c>
      <c r="C83" s="156"/>
      <c r="D83" s="156"/>
      <c r="E83" s="156"/>
      <c r="F83" s="156"/>
      <c r="G83" s="156"/>
      <c r="H83" s="156"/>
      <c r="N83" s="153"/>
      <c r="O83" s="153"/>
    </row>
    <row r="84" spans="1:15" s="82" customFormat="1" ht="12.75">
      <c r="A84" s="157" t="s">
        <v>238</v>
      </c>
      <c r="B84" s="158" t="s">
        <v>239</v>
      </c>
      <c r="C84" s="159"/>
      <c r="D84" s="159"/>
      <c r="E84" s="159"/>
      <c r="F84" s="159"/>
      <c r="G84" s="159"/>
      <c r="H84" s="159"/>
      <c r="N84" s="153"/>
      <c r="O84" s="153"/>
    </row>
    <row r="85" spans="1:15" s="9" customFormat="1" ht="14.25">
      <c r="A85" s="160" t="s">
        <v>240</v>
      </c>
      <c r="B85" s="161"/>
      <c r="N85" s="162"/>
      <c r="O85" s="162"/>
    </row>
    <row r="86" spans="1:15" s="9" customFormat="1" ht="14.25">
      <c r="A86" s="163" t="s">
        <v>241</v>
      </c>
      <c r="B86" s="164"/>
      <c r="N86" s="162"/>
      <c r="O86" s="162"/>
    </row>
    <row r="87" spans="1:15" s="9" customFormat="1" ht="14.25">
      <c r="A87" s="165"/>
      <c r="B87" s="164"/>
      <c r="N87" s="162"/>
      <c r="O87" s="162"/>
    </row>
    <row r="88" spans="1:15" s="9" customFormat="1" ht="14.25">
      <c r="A88" s="165"/>
      <c r="B88" s="164"/>
      <c r="N88" s="162"/>
      <c r="O88" s="162"/>
    </row>
    <row r="89" spans="1:15" s="9" customFormat="1" ht="14.25">
      <c r="A89" s="165"/>
      <c r="B89" s="164"/>
      <c r="N89" s="162"/>
      <c r="O89" s="162"/>
    </row>
    <row r="90" spans="1:15" s="9" customFormat="1" ht="14.25">
      <c r="A90" s="165"/>
      <c r="B90" s="164"/>
      <c r="N90" s="162"/>
      <c r="O90" s="162"/>
    </row>
    <row r="91" spans="1:15" s="9" customFormat="1" ht="14.25">
      <c r="A91" s="165"/>
      <c r="B91" s="164"/>
      <c r="N91" s="162"/>
      <c r="O91" s="162"/>
    </row>
    <row r="92" spans="1:15" s="9" customFormat="1" ht="14.25">
      <c r="A92" s="165"/>
      <c r="B92" s="164"/>
      <c r="N92" s="162"/>
      <c r="O92" s="162"/>
    </row>
    <row r="93" spans="1:15" s="9" customFormat="1" ht="14.25">
      <c r="A93" s="165"/>
      <c r="B93" s="164"/>
      <c r="N93" s="162"/>
      <c r="O93" s="162"/>
    </row>
    <row r="94" spans="1:15" s="9" customFormat="1" ht="14.25">
      <c r="A94" s="165"/>
      <c r="B94" s="164"/>
      <c r="N94" s="162"/>
      <c r="O94" s="162"/>
    </row>
    <row r="95" spans="1:15" s="9" customFormat="1" ht="14.25">
      <c r="A95" s="165"/>
      <c r="B95" s="164"/>
      <c r="N95" s="162"/>
      <c r="O95" s="162"/>
    </row>
    <row r="96" spans="1:15" s="9" customFormat="1" ht="14.25">
      <c r="A96" s="165"/>
      <c r="B96" s="164"/>
      <c r="N96" s="162"/>
      <c r="O96" s="162"/>
    </row>
  </sheetData>
  <sheetProtection/>
  <mergeCells count="80">
    <mergeCell ref="R74:R75"/>
    <mergeCell ref="A62:D62"/>
    <mergeCell ref="P63:P65"/>
    <mergeCell ref="P71:P73"/>
    <mergeCell ref="Q63:Q65"/>
    <mergeCell ref="R57:R58"/>
    <mergeCell ref="Q57:Q58"/>
    <mergeCell ref="P57:P58"/>
    <mergeCell ref="R66:R67"/>
    <mergeCell ref="R63:R65"/>
    <mergeCell ref="R68:R69"/>
    <mergeCell ref="A1:A3"/>
    <mergeCell ref="C1:H1"/>
    <mergeCell ref="H2:H3"/>
    <mergeCell ref="D2:D3"/>
    <mergeCell ref="G2:G3"/>
    <mergeCell ref="E2:F2"/>
    <mergeCell ref="C2:C3"/>
    <mergeCell ref="B1:B3"/>
    <mergeCell ref="M1:M3"/>
    <mergeCell ref="N1:N3"/>
    <mergeCell ref="I1:L1"/>
    <mergeCell ref="I2:I3"/>
    <mergeCell ref="L2:L3"/>
    <mergeCell ref="J2:J3"/>
    <mergeCell ref="K2:K3"/>
    <mergeCell ref="T1:T3"/>
    <mergeCell ref="P1:P3"/>
    <mergeCell ref="O1:O3"/>
    <mergeCell ref="O13:O14"/>
    <mergeCell ref="S1:S3"/>
    <mergeCell ref="Q1:Q3"/>
    <mergeCell ref="P10:P11"/>
    <mergeCell ref="P13:P14"/>
    <mergeCell ref="R1:R3"/>
    <mergeCell ref="Q5:Q6"/>
    <mergeCell ref="A48:D48"/>
    <mergeCell ref="O30:O32"/>
    <mergeCell ref="A15:D15"/>
    <mergeCell ref="A23:D23"/>
    <mergeCell ref="A27:D27"/>
    <mergeCell ref="O21:O22"/>
    <mergeCell ref="O28:O29"/>
    <mergeCell ref="Q21:Q22"/>
    <mergeCell ref="Q24:Q25"/>
    <mergeCell ref="O49:O50"/>
    <mergeCell ref="P41:P47"/>
    <mergeCell ref="P37:P40"/>
    <mergeCell ref="P35:P36"/>
    <mergeCell ref="P49:P50"/>
    <mergeCell ref="O35:O36"/>
    <mergeCell ref="R35:R36"/>
    <mergeCell ref="R51:R56"/>
    <mergeCell ref="R41:R47"/>
    <mergeCell ref="R49:R50"/>
    <mergeCell ref="Q37:Q40"/>
    <mergeCell ref="P30:P32"/>
    <mergeCell ref="P33:P34"/>
    <mergeCell ref="Q31:Q34"/>
    <mergeCell ref="Q28:Q30"/>
    <mergeCell ref="O7:O9"/>
    <mergeCell ref="P7:P9"/>
    <mergeCell ref="O10:O11"/>
    <mergeCell ref="P16:P17"/>
    <mergeCell ref="P21:P22"/>
    <mergeCell ref="Q49:Q50"/>
    <mergeCell ref="Q7:Q11"/>
    <mergeCell ref="Q18:Q20"/>
    <mergeCell ref="Q13:Q14"/>
    <mergeCell ref="Q16:Q17"/>
    <mergeCell ref="P76:P79"/>
    <mergeCell ref="P51:P56"/>
    <mergeCell ref="Q41:Q47"/>
    <mergeCell ref="P28:P29"/>
    <mergeCell ref="Q35:Q36"/>
    <mergeCell ref="P60:P61"/>
    <mergeCell ref="P74:P75"/>
    <mergeCell ref="Q51:Q56"/>
    <mergeCell ref="P68:P69"/>
    <mergeCell ref="P66:P67"/>
  </mergeCells>
  <printOptions/>
  <pageMargins left="0.17" right="0.17" top="0.22" bottom="0.2" header="0.5" footer="0.5"/>
  <pageSetup fitToHeight="1" fitToWidth="1" horizontalDpi="1200" verticalDpi="1200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Cassandra Terry</dc:creator>
  <cp:keywords/>
  <dc:description/>
  <cp:lastModifiedBy>Windows User</cp:lastModifiedBy>
  <cp:lastPrinted>2004-09-30T09:37:28Z</cp:lastPrinted>
  <dcterms:created xsi:type="dcterms:W3CDTF">1997-01-10T04:21:27Z</dcterms:created>
  <dcterms:modified xsi:type="dcterms:W3CDTF">2013-03-26T12:56:22Z</dcterms:modified>
  <cp:category/>
  <cp:version/>
  <cp:contentType/>
  <cp:contentStatus/>
</cp:coreProperties>
</file>