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9195" windowHeight="5865" firstSheet="2" activeTab="2"/>
  </bookViews>
  <sheets>
    <sheet name="Revision" sheetId="1" state="hidden" r:id="rId1"/>
    <sheet name="Components" sheetId="2" state="hidden" r:id="rId2"/>
    <sheet name="Introduction" sheetId="3" r:id="rId3"/>
    <sheet name="Step 1" sheetId="4" r:id="rId4"/>
    <sheet name="Step 2" sheetId="5" r:id="rId5"/>
    <sheet name="Final 1 - Summary" sheetId="6" r:id="rId6"/>
    <sheet name="Final 2 -  Bode Plot" sheetId="7" r:id="rId7"/>
    <sheet name="Inductor Design" sheetId="8" r:id="rId8"/>
    <sheet name="Bode Plot Data" sheetId="9" state="hidden" r:id="rId9"/>
  </sheets>
  <definedNames>
    <definedName name="A_L">'Inductor Design'!$G$21</definedName>
    <definedName name="Ae_core" localSheetId="7">'Inductor Design'!$C$20</definedName>
    <definedName name="AeAb">'Inductor Design'!$C$18</definedName>
    <definedName name="AWG_f">'Inductor Design'!$C$28</definedName>
    <definedName name="Bobbin_Area">'Inductor Design'!$G$34</definedName>
    <definedName name="BW">'Bode Plot Data'!$P$11</definedName>
    <definedName name="Ccomphf" localSheetId="7">'Inductor Design'!#REF!</definedName>
    <definedName name="Ccomphf">'Step 1'!$C$36</definedName>
    <definedName name="Ccomphf_actual">'Step 2'!$B$40</definedName>
    <definedName name="Ccomplf" localSheetId="7">'Inductor Design'!#REF!</definedName>
    <definedName name="Ccomplf">'Step 1'!$C$34</definedName>
    <definedName name="Ccomplf_actual">'Step 2'!$B$38</definedName>
    <definedName name="CD">'Inductor Design'!$C$9</definedName>
    <definedName name="Cinf" localSheetId="7">'Inductor Design'!#REF!</definedName>
    <definedName name="Cinf">'Step 1'!$G$34</definedName>
    <definedName name="Cinf_actual">'Step 2'!$B$19</definedName>
    <definedName name="CM" localSheetId="7">'Inductor Design'!$C$26</definedName>
    <definedName name="Copy_Right">'Revision'!$B$3</definedName>
    <definedName name="COUT">'Step 1'!$C$21</definedName>
    <definedName name="Cout_actual">'Step 2'!$B$33</definedName>
    <definedName name="Css" localSheetId="7">'Inductor Design'!#REF!</definedName>
    <definedName name="Css">'Step 1'!$C$33</definedName>
    <definedName name="Css_actual">'Step 2'!$B$43</definedName>
    <definedName name="Cu_Area">'Inductor Design'!$G$32</definedName>
    <definedName name="CVB" localSheetId="7">'Inductor Design'!#REF!</definedName>
    <definedName name="CVB">'Step 1'!$C$31</definedName>
    <definedName name="Cvdd1" localSheetId="7">'Inductor Design'!#REF!</definedName>
    <definedName name="Cvdd1">'Step 1'!$G$36</definedName>
    <definedName name="Cvdd2" localSheetId="7">'Inductor Design'!#REF!</definedName>
    <definedName name="Cvdd2">'Step 1'!$G$37</definedName>
    <definedName name="Date">'Revision'!$B$2</definedName>
    <definedName name="Date_Design">'Introduction'!$C$36</definedName>
    <definedName name="dB">'Inductor Design'!$C$7</definedName>
    <definedName name="Designer">'Introduction'!$C$35</definedName>
    <definedName name="dVout_dt">'Step 1'!$C$16</definedName>
    <definedName name="eff_m">'Inductor Design'!$C$6</definedName>
    <definedName name="eff_pfc">'Inductor Design'!$C$14</definedName>
    <definedName name="f1a">'Bode Plot Data'!$L$6</definedName>
    <definedName name="F2_Dem">'Bode Plot Data'!$P$6</definedName>
    <definedName name="F2_Num">'Bode Plot Data'!$P$5</definedName>
    <definedName name="fc">'Step 1'!$G$10</definedName>
    <definedName name="fc_actual">'Step 2'!$F$38</definedName>
    <definedName name="fcp">'Bode Plot Data'!$L$8</definedName>
    <definedName name="fcz">'Bode Plot Data'!$L$7</definedName>
    <definedName name="fHFP">'Step 1'!$G$11</definedName>
    <definedName name="fhfp_actual">'Step 2'!$F$39</definedName>
    <definedName name="FK">'Inductor Design'!$C$11</definedName>
    <definedName name="fLINEMIN">'Step 1'!$C$11</definedName>
    <definedName name="fp">'Bode Plot Data'!$L$5</definedName>
    <definedName name="Fs_max">'Inductor Design'!$G$23</definedName>
    <definedName name="Fs_min" localSheetId="7">'Inductor Design'!$G$7</definedName>
    <definedName name="FSWMIN">'Step 1'!$G$8</definedName>
    <definedName name="fswmin_actual">'Step 2'!$F$27</definedName>
    <definedName name="Fv_Co">'Bode Plot Data'!$L$10</definedName>
    <definedName name="Fv_fcp">'Bode Plot Data'!$L$12</definedName>
    <definedName name="Fv_fcz">'Bode Plot Data'!$L$11</definedName>
    <definedName name="I_gap">'Inductor Design'!$G$22</definedName>
    <definedName name="I_in" localSheetId="7">'Inductor Design'!$C$25</definedName>
    <definedName name="Igd_actual">'Step 2'!$F$46</definedName>
    <definedName name="IL_pk">'Inductor Design'!$G$18</definedName>
    <definedName name="ILPK">'Step 1'!$C$27</definedName>
    <definedName name="Ilpk_actual">'Step 2'!$F$30</definedName>
    <definedName name="Io_dc">'Final 2 -  Bode Plot'!$D$6</definedName>
    <definedName name="Io_dcp">'Bode Plot Data'!$L$4</definedName>
    <definedName name="IOMAX">'Step 1'!$C$28</definedName>
    <definedName name="Iopk_actual">'Step 2'!$F$26</definedName>
    <definedName name="Izcd_actual">'Step 2'!$F$49</definedName>
    <definedName name="Kmax">'Step 1'!$G$15</definedName>
    <definedName name="L">'Step 1'!$C$22</definedName>
    <definedName name="L_actual">'Step 2'!$B$25</definedName>
    <definedName name="L_pfc">'Inductor Design'!$G$19</definedName>
    <definedName name="litz_mean_OD">'Inductor Design'!$C$31</definedName>
    <definedName name="litz_OD_wound">'Inductor Design'!$C$32</definedName>
    <definedName name="Min_GL">'Bode Plot Data'!$P$10</definedName>
    <definedName name="MLT" localSheetId="7">'Inductor Design'!$C$21</definedName>
    <definedName name="N">'Step 1'!$C$20</definedName>
    <definedName name="N_boost">'Inductor Design'!$G$20</definedName>
    <definedName name="N_cu_layers">'Inductor Design'!$C$34</definedName>
    <definedName name="N_tape_layers">'Inductor Design'!$G$31</definedName>
    <definedName name="N_zcd">'Inductor Design'!$G$25</definedName>
    <definedName name="nH" localSheetId="7">'Inductor Design'!$G$12</definedName>
    <definedName name="Nzcd">'Inductor Design'!$G$26</definedName>
    <definedName name="P_Rdc">'Inductor Design'!$G$36</definedName>
    <definedName name="pfb">'Step 1'!$G$12</definedName>
    <definedName name="Pfb_actual">'Step 2'!$F$9</definedName>
    <definedName name="pinsns">'Step 1'!$G$14</definedName>
    <definedName name="Pinsnsmax_actual">'Step 2'!$F$18</definedName>
    <definedName name="PM">'Bode Plot Data'!$P$12</definedName>
    <definedName name="PMAXCH">'Step 1'!$C$24</definedName>
    <definedName name="Pmaxch_actual">'Step 2'!$F$25</definedName>
    <definedName name="Pmaxchilpk_actual" localSheetId="7">'Step 2'!#REF!</definedName>
    <definedName name="Pmaxchilpk_actual">'Step 2'!#REF!</definedName>
    <definedName name="Po">'Inductor Design'!$C$12</definedName>
    <definedName name="Po_ch">'Inductor Design'!$C$13</definedName>
    <definedName name="POUT">'Step 1'!$C$15</definedName>
    <definedName name="POUTCH">'Step 1'!$C$23</definedName>
    <definedName name="Povnom_actual">'Step 2'!$F$13</definedName>
    <definedName name="Povp">'Step 1'!$G$13</definedName>
    <definedName name="_xlnm.Print_Area" localSheetId="5">'Final 1 - Summary'!$A$1:$G$54</definedName>
    <definedName name="_xlnm.Print_Area" localSheetId="6">'Final 2 -  Bode Plot'!$A$1:$H$62</definedName>
    <definedName name="_xlnm.Print_Area" localSheetId="3">'Step 1'!$A$1:$G$50</definedName>
    <definedName name="Project">'Introduction'!$C$34</definedName>
    <definedName name="Rcomp" localSheetId="7">'Inductor Design'!#REF!</definedName>
    <definedName name="Rcomp">'Step 1'!$C$35</definedName>
    <definedName name="Rcomp_actual">'Step 2'!$B$39</definedName>
    <definedName name="Rcs1" localSheetId="7">'Inductor Design'!#REF!</definedName>
    <definedName name="Rcs1">'Step 1'!$G$38</definedName>
    <definedName name="Rcsx_actual">'Step 2'!$B$30</definedName>
    <definedName name="Rdc">'Inductor Design'!$C$36</definedName>
    <definedName name="Res_litz">'Inductor Design'!$C$30</definedName>
    <definedName name="Rev">'Revision'!$B$1</definedName>
    <definedName name="Rfb1" localSheetId="7">'Inductor Design'!#REF!</definedName>
    <definedName name="Rfb1">'Step 1'!$C$37</definedName>
    <definedName name="Rfb1_actual">'Step 2'!$B$8</definedName>
    <definedName name="Rfb2" localSheetId="7">'Inductor Design'!#REF!</definedName>
    <definedName name="Rfb2">'Step 1'!$C$38</definedName>
    <definedName name="Rfb2_actual">'Step 2'!$B$9</definedName>
    <definedName name="Rg1" localSheetId="7">'Inductor Design'!#REF!</definedName>
    <definedName name="Rg1">'Step 1'!$G$35</definedName>
    <definedName name="Rgx_actual">'Step 2'!$B$46</definedName>
    <definedName name="Rin1" localSheetId="7">'Inductor Design'!#REF!</definedName>
    <definedName name="Rin1">'Step 1'!$G$31</definedName>
    <definedName name="Rin1_actual">'Step 2'!$B$16</definedName>
    <definedName name="Rin2" localSheetId="7">'Inductor Design'!#REF!</definedName>
    <definedName name="Rin2">'Step 1'!$G$32</definedName>
    <definedName name="Rin2_actual">'Step 2'!$B$17</definedName>
    <definedName name="Rinhyst" localSheetId="7">'Inductor Design'!#REF!</definedName>
    <definedName name="Rinhyst">'Step 1'!$G$33</definedName>
    <definedName name="Rinhyst_actual">'Step 2'!$B$18</definedName>
    <definedName name="Rmot" localSheetId="7">'Inductor Design'!#REF!</definedName>
    <definedName name="Rmot">'Step 1'!$C$32</definedName>
    <definedName name="Rmot_actual">'Step 2'!$B$22</definedName>
    <definedName name="Rov1" localSheetId="7">'Inductor Design'!#REF!</definedName>
    <definedName name="Rov1">'Step 1'!$C$39</definedName>
    <definedName name="Rov1_actual">'Step 2'!$B$12</definedName>
    <definedName name="Rov2" localSheetId="7">'Inductor Design'!#REF!</definedName>
    <definedName name="Rov2">'Step 1'!$G$30</definedName>
    <definedName name="Rov2_actual">'Step 2'!$B$13</definedName>
    <definedName name="Rzcd1" localSheetId="7">'Inductor Design'!#REF!</definedName>
    <definedName name="Rzcd1">'Step 1'!$C$30</definedName>
    <definedName name="Rzcdx_actual">'Step 2'!$B$49</definedName>
    <definedName name="s" localSheetId="7">'Inductor Design'!B1</definedName>
    <definedName name="s">'Step 1'!B1</definedName>
    <definedName name="SD">'Inductor Design'!$C$27</definedName>
    <definedName name="sss">'Step 1'!A1</definedName>
    <definedName name="tape_Area">'Inductor Design'!$G$33</definedName>
    <definedName name="tape_thick">'Inductor Design'!$G$30</definedName>
    <definedName name="testt" localSheetId="7">'Inductor Design'!B1</definedName>
    <definedName name="testt">'Step 1'!B1</definedName>
    <definedName name="tHOLD">'Step 1'!$C$17</definedName>
    <definedName name="thold_actual">'Step 2'!$F$34</definedName>
    <definedName name="TONMAX">'Step 1'!$C$25</definedName>
    <definedName name="tonmax_actual">'Step 2'!$F$22</definedName>
    <definedName name="Turns_layer">'Inductor Design'!$C$33</definedName>
    <definedName name="UF">'Inductor Design'!$C$10</definedName>
    <definedName name="unit" localSheetId="7">'Inductor Design'!$G$10</definedName>
    <definedName name="uo" localSheetId="7">'Inductor Design'!$G$11</definedName>
    <definedName name="V_Line_min" localSheetId="7">'Inductor Design'!$G$6</definedName>
    <definedName name="V_Line_minf" localSheetId="7">'Inductor Design'!$C$16</definedName>
    <definedName name="V_zcd" localSheetId="7">'Inductor Design'!$G$8</definedName>
    <definedName name="VDDmax">'Step 1'!$G$9</definedName>
    <definedName name="VLINE_OVP">'Step 1'!$G$19</definedName>
    <definedName name="VLineHyst">'Step 1'!$G$20</definedName>
    <definedName name="VLINEMAX" localSheetId="7">'Inductor Design'!$C$9</definedName>
    <definedName name="VLINEMAX">'Step 1'!$C$10</definedName>
    <definedName name="VLINEMAX1" localSheetId="7">'Inductor Design'!$C$9</definedName>
    <definedName name="VLINEMAX1">'Step 1'!$C$10</definedName>
    <definedName name="VLINENOR">'Step 1'!$C$9</definedName>
    <definedName name="VLINEOFF" localSheetId="7">'Inductor Design'!$C$7</definedName>
    <definedName name="VLINEOFF">'Step 1'!$C$8</definedName>
    <definedName name="Vlineoff_actual">'Step 2'!$F$16</definedName>
    <definedName name="VLINEON" localSheetId="7">'Inductor Design'!$C$6</definedName>
    <definedName name="VLINEON">'Step 1'!$C$7</definedName>
    <definedName name="Vlineon_actual">'Step 2'!$F$17</definedName>
    <definedName name="VLINEOVP">'Step 1'!$C$10</definedName>
    <definedName name="VOUT">'Step 1'!$C$12</definedName>
    <definedName name="Vout_actual">'Step 2'!$F$8</definedName>
    <definedName name="Vout_pfc">'Inductor Design'!$C$15</definedName>
    <definedName name="VOUTLATCH">'Step 1'!$C$14</definedName>
    <definedName name="Voutlatch_actual">'Step 2'!$F$12</definedName>
    <definedName name="VOUTMIN">'Step 1'!$G$7</definedName>
    <definedName name="Voutmin_actual">'Step 2'!$F$35</definedName>
    <definedName name="VOUTRIPPLE">'Step 1'!$C$13</definedName>
    <definedName name="Voutripple_actual">'Step 2'!$F$33</definedName>
    <definedName name="WA" localSheetId="7">'Inductor Design'!$C$23</definedName>
    <definedName name="WF">'Inductor Design'!$C$8</definedName>
    <definedName name="WW" localSheetId="7">'Inductor Design'!$C$22</definedName>
    <definedName name="η">'Step 1'!$C$19</definedName>
  </definedNames>
  <calcPr fullCalcOnLoad="1"/>
</workbook>
</file>

<file path=xl/comments4.xml><?xml version="1.0" encoding="utf-8"?>
<comments xmlns="http://schemas.openxmlformats.org/spreadsheetml/2006/main">
  <authors>
    <author>Note</author>
    <author>Fairchild Semiconductor</author>
  </authors>
  <commentList>
    <comment ref="F34"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F33"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F32"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F31"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B22"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 ref="B10" authorId="0">
      <text>
        <r>
          <rPr>
            <b/>
            <sz val="8"/>
            <rFont val="Tahoma"/>
            <family val="0"/>
          </rPr>
          <t>Note:</t>
        </r>
        <r>
          <rPr>
            <sz val="8"/>
            <rFont val="Tahoma"/>
            <family val="0"/>
          </rPr>
          <t xml:space="preserve">
The V</t>
        </r>
        <r>
          <rPr>
            <vertAlign val="subscript"/>
            <sz val="8"/>
            <rFont val="Tahoma"/>
            <family val="2"/>
          </rPr>
          <t>LINEMAX</t>
        </r>
        <r>
          <rPr>
            <sz val="8"/>
            <rFont val="Tahoma"/>
            <family val="0"/>
          </rPr>
          <t xml:space="preserve"> parameter is the largest input voltage expected.
This parameter is used only for calculations and must be less than or equal to the Line OVP setpoint (V</t>
        </r>
        <r>
          <rPr>
            <vertAlign val="subscript"/>
            <sz val="8"/>
            <rFont val="Tahoma"/>
            <family val="2"/>
          </rPr>
          <t>LINEOFF</t>
        </r>
        <r>
          <rPr>
            <sz val="8"/>
            <rFont val="Tahoma"/>
            <family val="0"/>
          </rPr>
          <t xml:space="preserve"> * 4.0)</t>
        </r>
      </text>
    </comment>
    <comment ref="B8" authorId="0">
      <text>
        <r>
          <rPr>
            <b/>
            <sz val="8"/>
            <rFont val="Tahoma"/>
            <family val="0"/>
          </rPr>
          <t>Note:</t>
        </r>
        <r>
          <rPr>
            <sz val="8"/>
            <rFont val="Tahoma"/>
            <family val="0"/>
          </rPr>
          <t xml:space="preserve">
The V</t>
        </r>
        <r>
          <rPr>
            <vertAlign val="subscript"/>
            <sz val="8"/>
            <rFont val="Tahoma"/>
            <family val="2"/>
          </rPr>
          <t>LINEOFF</t>
        </r>
        <r>
          <rPr>
            <sz val="8"/>
            <rFont val="Tahoma"/>
            <family val="0"/>
          </rPr>
          <t xml:space="preserve"> parameter sets the RMS voltage at which the FAN9612 will turn off (Brownout).  
The Line OVP setpoint changes with this parameter as well.  The OVP value is approximately 4.0 * V</t>
        </r>
        <r>
          <rPr>
            <vertAlign val="subscript"/>
            <sz val="8"/>
            <rFont val="Tahoma"/>
            <family val="2"/>
          </rPr>
          <t>LINEOFF</t>
        </r>
        <r>
          <rPr>
            <sz val="8"/>
            <rFont val="Tahoma"/>
            <family val="0"/>
          </rPr>
          <t>.
Care should be taken to ensure the window resulting from the V</t>
        </r>
        <r>
          <rPr>
            <vertAlign val="subscript"/>
            <sz val="8"/>
            <rFont val="Tahoma"/>
            <family val="2"/>
          </rPr>
          <t>LINEOFF</t>
        </r>
        <r>
          <rPr>
            <sz val="8"/>
            <rFont val="Tahoma"/>
            <family val="0"/>
          </rPr>
          <t xml:space="preserve"> parameter covers the entire operating range. 
Default value is 85 V.</t>
        </r>
      </text>
    </comment>
    <comment ref="B7" authorId="0">
      <text>
        <r>
          <rPr>
            <b/>
            <sz val="8"/>
            <rFont val="Tahoma"/>
            <family val="0"/>
          </rPr>
          <t>Note:</t>
        </r>
        <r>
          <rPr>
            <sz val="8"/>
            <rFont val="Tahoma"/>
            <family val="0"/>
          </rPr>
          <t xml:space="preserve">
V</t>
        </r>
        <r>
          <rPr>
            <vertAlign val="subscript"/>
            <sz val="8"/>
            <rFont val="Tahoma"/>
            <family val="2"/>
          </rPr>
          <t>LINEON</t>
        </r>
        <r>
          <rPr>
            <sz val="8"/>
            <rFont val="Tahoma"/>
            <family val="0"/>
          </rPr>
          <t xml:space="preserve"> is the setpoint that the FAN9612 begins operating and must be greater than V</t>
        </r>
        <r>
          <rPr>
            <vertAlign val="subscript"/>
            <sz val="8"/>
            <rFont val="Tahoma"/>
            <family val="2"/>
          </rPr>
          <t>LINEOFF</t>
        </r>
        <r>
          <rPr>
            <sz val="8"/>
            <rFont val="Tahoma"/>
            <family val="0"/>
          </rPr>
          <t xml:space="preserve"> and less than V</t>
        </r>
        <r>
          <rPr>
            <vertAlign val="subscript"/>
            <sz val="8"/>
            <rFont val="Tahoma"/>
            <family val="2"/>
          </rPr>
          <t>LINEMAX</t>
        </r>
        <r>
          <rPr>
            <sz val="8"/>
            <rFont val="Tahoma"/>
            <family val="0"/>
          </rPr>
          <t>.
The FAN9612 has built in hysteresis which is dependent on the upper resistor in the input voltage sense divider.
Lower V</t>
        </r>
        <r>
          <rPr>
            <vertAlign val="subscript"/>
            <sz val="8"/>
            <rFont val="Tahoma"/>
            <family val="2"/>
          </rPr>
          <t>IN</t>
        </r>
        <r>
          <rPr>
            <sz val="8"/>
            <rFont val="Tahoma"/>
            <family val="0"/>
          </rPr>
          <t xml:space="preserve"> sense power dissipation results in larger built in hysteresis.</t>
        </r>
      </text>
    </comment>
    <comment ref="B19" authorId="0">
      <text>
        <r>
          <rPr>
            <b/>
            <sz val="8"/>
            <rFont val="Tahoma"/>
            <family val="0"/>
          </rPr>
          <t>Note:</t>
        </r>
        <r>
          <rPr>
            <sz val="8"/>
            <rFont val="Tahoma"/>
            <family val="0"/>
          </rPr>
          <t xml:space="preserve">
Typical efficiency values for an interleaved BCM PFC converter is in the 0.92 to 0.98 range.
Default value is 0.95</t>
        </r>
      </text>
    </comment>
    <comment ref="B20" authorId="0">
      <text>
        <r>
          <rPr>
            <b/>
            <sz val="8"/>
            <rFont val="Tahoma"/>
            <family val="0"/>
          </rPr>
          <t>Note:</t>
        </r>
        <r>
          <rPr>
            <sz val="8"/>
            <rFont val="Tahoma"/>
            <family val="0"/>
          </rPr>
          <t xml:space="preserve">
The auxiliary winding is used to indirectly detect the inductor zero current point for the FAN9612 zero current detection (ZCD) circuit.
This tool assumes that auxiliary winding will only be used for this purpose and not for supplying power to the FAN9612. 
If it is desired to have the auxiliary winding supply power, consult the FAN9612 applications note (AN-6086).</t>
        </r>
      </text>
    </comment>
    <comment ref="B25" authorId="0">
      <text>
        <r>
          <rPr>
            <b/>
            <sz val="8"/>
            <rFont val="Tahoma"/>
            <family val="0"/>
          </rPr>
          <t>Note:</t>
        </r>
        <r>
          <rPr>
            <sz val="8"/>
            <rFont val="Tahoma"/>
            <family val="0"/>
          </rPr>
          <t xml:space="preserve">
The maximum on time of the gate drive signals determines the maximum output power. 
Therefore, t</t>
        </r>
        <r>
          <rPr>
            <vertAlign val="subscript"/>
            <sz val="8"/>
            <rFont val="Tahoma"/>
            <family val="2"/>
          </rPr>
          <t>ONMAX</t>
        </r>
        <r>
          <rPr>
            <sz val="8"/>
            <rFont val="Tahoma"/>
            <family val="0"/>
          </rPr>
          <t xml:space="preserve"> is derived from the maximum output power per channel. </t>
        </r>
      </text>
    </comment>
    <comment ref="B30"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t>
        </r>
      </text>
    </comment>
    <comment ref="B32"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B37"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B38"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F12" authorId="0">
      <text>
        <r>
          <rPr>
            <b/>
            <sz val="8"/>
            <rFont val="Tahoma"/>
            <family val="0"/>
          </rPr>
          <t>Note:</t>
        </r>
        <r>
          <rPr>
            <sz val="8"/>
            <rFont val="Tahoma"/>
            <family val="0"/>
          </rPr>
          <t xml:space="preserve">
The feedback power dissipation determines the magnitude of the resistors to use for the feedback divider.
The default value is between 0.05 and 0.1 W.</t>
        </r>
      </text>
    </comment>
    <comment ref="F14" authorId="0">
      <text>
        <r>
          <rPr>
            <b/>
            <sz val="8"/>
            <rFont val="Tahoma"/>
            <family val="0"/>
          </rPr>
          <t>Note:</t>
        </r>
        <r>
          <rPr>
            <sz val="8"/>
            <rFont val="Tahoma"/>
            <family val="0"/>
          </rPr>
          <t xml:space="preserve">
The input voltage sense power dissipation determines the magnitude of the resistors to use for the input voltage sense divider.
This parameter also determines the amount of line brown out  hysteresis the device will have.  
Lower V</t>
        </r>
        <r>
          <rPr>
            <vertAlign val="subscript"/>
            <sz val="8"/>
            <rFont val="Tahoma"/>
            <family val="2"/>
          </rPr>
          <t>IN</t>
        </r>
        <r>
          <rPr>
            <sz val="8"/>
            <rFont val="Tahoma"/>
            <family val="0"/>
          </rPr>
          <t xml:space="preserve"> sense power dissipation results in larger built in hysteresis.</t>
        </r>
      </text>
    </comment>
    <comment ref="B39"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F30"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F13" authorId="0">
      <text>
        <r>
          <rPr>
            <b/>
            <sz val="8"/>
            <rFont val="Tahoma"/>
            <family val="0"/>
          </rPr>
          <t>Note:</t>
        </r>
        <r>
          <rPr>
            <sz val="8"/>
            <rFont val="Tahoma"/>
            <family val="0"/>
          </rPr>
          <t xml:space="preserve">
The OVP network power dissipation determines the magnitude of the resistors to use for the over voltage sense divider.
The default value is between 0.05 and 0.1 W.</t>
        </r>
      </text>
    </comment>
    <comment ref="B27" authorId="0">
      <text>
        <r>
          <rPr>
            <b/>
            <sz val="8"/>
            <rFont val="Tahoma"/>
            <family val="0"/>
          </rPr>
          <t>Note:</t>
        </r>
        <r>
          <rPr>
            <sz val="8"/>
            <rFont val="Tahoma"/>
            <family val="0"/>
          </rPr>
          <t xml:space="preserve">
The peak inductor current (</t>
        </r>
        <r>
          <rPr>
            <sz val="8"/>
            <rFont val="Tahoma"/>
            <family val="2"/>
          </rPr>
          <t>I</t>
        </r>
        <r>
          <rPr>
            <vertAlign val="subscript"/>
            <sz val="8"/>
            <rFont val="Tahoma"/>
            <family val="2"/>
          </rPr>
          <t>LPK</t>
        </r>
        <r>
          <rPr>
            <sz val="8"/>
            <rFont val="Tahoma"/>
            <family val="0"/>
          </rPr>
          <t>) is determined from the boost inductor value.</t>
        </r>
      </text>
    </comment>
    <comment ref="B21" authorId="0">
      <text>
        <r>
          <rPr>
            <b/>
            <sz val="8"/>
            <rFont val="Tahoma"/>
            <family val="0"/>
          </rPr>
          <t>Note:</t>
        </r>
        <r>
          <rPr>
            <sz val="8"/>
            <rFont val="Tahoma"/>
            <family val="0"/>
          </rPr>
          <t xml:space="preserve">
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B17" authorId="0">
      <text>
        <r>
          <rPr>
            <b/>
            <sz val="8"/>
            <rFont val="Tahoma"/>
            <family val="0"/>
          </rPr>
          <t>Note:</t>
        </r>
        <r>
          <rPr>
            <sz val="8"/>
            <rFont val="Tahoma"/>
            <family val="0"/>
          </rPr>
          <t xml:space="preserve">
t</t>
        </r>
        <r>
          <rPr>
            <vertAlign val="subscript"/>
            <sz val="8"/>
            <rFont val="Tahoma"/>
            <family val="2"/>
          </rPr>
          <t>HOLD</t>
        </r>
        <r>
          <rPr>
            <sz val="8"/>
            <rFont val="Tahoma"/>
            <family val="0"/>
          </rPr>
          <t xml:space="preserve"> is the required output voltage hold up time.
The combination of t</t>
        </r>
        <r>
          <rPr>
            <vertAlign val="subscript"/>
            <sz val="8"/>
            <rFont val="Tahoma"/>
            <family val="2"/>
          </rPr>
          <t>HOLD</t>
        </r>
        <r>
          <rPr>
            <sz val="8"/>
            <rFont val="Tahoma"/>
            <family val="0"/>
          </rPr>
          <t xml:space="preserve"> and V</t>
        </r>
        <r>
          <rPr>
            <vertAlign val="subscript"/>
            <sz val="8"/>
            <rFont val="Tahoma"/>
            <family val="2"/>
          </rPr>
          <t>OUTMIN</t>
        </r>
        <r>
          <rPr>
            <sz val="8"/>
            <rFont val="Tahoma"/>
            <family val="0"/>
          </rPr>
          <t xml:space="preserve"> may determine the size of C</t>
        </r>
        <r>
          <rPr>
            <vertAlign val="subscript"/>
            <sz val="8"/>
            <rFont val="Tahoma"/>
            <family val="2"/>
          </rPr>
          <t>OUT</t>
        </r>
        <r>
          <rPr>
            <sz val="8"/>
            <rFont val="Tahoma"/>
            <family val="0"/>
          </rPr>
          <t>.
A typical value for hold up time is one line cycle.</t>
        </r>
      </text>
    </comment>
    <comment ref="F10" authorId="0">
      <text>
        <r>
          <rPr>
            <b/>
            <sz val="8"/>
            <rFont val="Tahoma"/>
            <family val="0"/>
          </rPr>
          <t>Note:</t>
        </r>
        <r>
          <rPr>
            <sz val="8"/>
            <rFont val="Tahoma"/>
            <family val="0"/>
          </rPr>
          <t xml:space="preserve">
The crossover frequency should be in the range of 1/10~1/5 of the line frequency.
This will allow a phase margin of 45º be obtained around the crossover frequency.</t>
        </r>
      </text>
    </comment>
    <comment ref="F11" authorId="0">
      <text>
        <r>
          <rPr>
            <b/>
            <sz val="8"/>
            <rFont val="Tahoma"/>
            <family val="0"/>
          </rPr>
          <t>Note:</t>
        </r>
        <r>
          <rPr>
            <sz val="8"/>
            <rFont val="Tahoma"/>
            <family val="0"/>
          </rPr>
          <t xml:space="preserve">
The high-frequency pole (f</t>
        </r>
        <r>
          <rPr>
            <vertAlign val="subscript"/>
            <sz val="8"/>
            <rFont val="Tahoma"/>
            <family val="2"/>
          </rPr>
          <t>HFP</t>
        </r>
        <r>
          <rPr>
            <sz val="8"/>
            <rFont val="Tahoma"/>
            <family val="0"/>
          </rPr>
          <t>) should be placed sufficiently lower than the switching frequency of the converter so noise can be effectively attenuated.  
It also must be placed at least a decade higher than f</t>
        </r>
        <r>
          <rPr>
            <vertAlign val="subscript"/>
            <sz val="8"/>
            <rFont val="Tahoma"/>
            <family val="2"/>
          </rPr>
          <t>c</t>
        </r>
        <r>
          <rPr>
            <sz val="8"/>
            <rFont val="Tahoma"/>
            <family val="0"/>
          </rPr>
          <t xml:space="preserve"> to ensure it does not interfere with the phase margin at its crossover frequency.
The recommended f</t>
        </r>
        <r>
          <rPr>
            <vertAlign val="subscript"/>
            <sz val="8"/>
            <rFont val="Tahoma"/>
            <family val="2"/>
          </rPr>
          <t>HFP</t>
        </r>
        <r>
          <rPr>
            <sz val="8"/>
            <rFont val="Tahoma"/>
            <family val="0"/>
          </rPr>
          <t xml:space="preserve"> frequency is around 250 Hz in PFC applications.</t>
        </r>
      </text>
    </comment>
    <comment ref="B36"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B35"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B34"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B33"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F38"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F39" authorId="0">
      <text>
        <r>
          <rPr>
            <b/>
            <sz val="8"/>
            <rFont val="Tahoma"/>
            <family val="0"/>
          </rPr>
          <t>Note:</t>
        </r>
        <r>
          <rPr>
            <sz val="8"/>
            <rFont val="Tahoma"/>
            <family val="0"/>
          </rPr>
          <t xml:space="preserve">
The size and type of current sense resistors depends on their power dissipation and manufacturing considerations.</t>
        </r>
      </text>
    </comment>
    <comment ref="F35"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F15" authorId="0">
      <text>
        <r>
          <rPr>
            <b/>
            <sz val="8"/>
            <rFont val="Tahoma"/>
            <family val="0"/>
          </rPr>
          <t>Note:</t>
        </r>
        <r>
          <rPr>
            <sz val="8"/>
            <rFont val="Tahoma"/>
            <family val="0"/>
          </rPr>
          <t xml:space="preserve">
K</t>
        </r>
        <r>
          <rPr>
            <vertAlign val="subscript"/>
            <sz val="8"/>
            <rFont val="Tahoma"/>
            <family val="2"/>
          </rPr>
          <t>MAX</t>
        </r>
        <r>
          <rPr>
            <sz val="8"/>
            <rFont val="Tahoma"/>
            <family val="0"/>
          </rPr>
          <t xml:space="preserve"> is the maximum power limiting factor, which is the ratio between the limited maximum output power and nominal output power.
Considering the tolerances of inductor, resistor and controller variation;
it is typical to set the limited maximum power as 20%-30% higher than the nominal output power (K</t>
        </r>
        <r>
          <rPr>
            <vertAlign val="subscript"/>
            <sz val="8"/>
            <rFont val="Tahoma"/>
            <family val="2"/>
          </rPr>
          <t>MAX</t>
        </r>
        <r>
          <rPr>
            <sz val="8"/>
            <rFont val="Tahoma"/>
            <family val="0"/>
          </rPr>
          <t xml:space="preserve"> = 1.2~1.3).</t>
        </r>
      </text>
    </comment>
    <comment ref="B24" authorId="0">
      <text>
        <r>
          <rPr>
            <b/>
            <sz val="8"/>
            <rFont val="Tahoma"/>
            <family val="0"/>
          </rPr>
          <t>Note:</t>
        </r>
        <r>
          <rPr>
            <sz val="8"/>
            <rFont val="Tahoma"/>
            <family val="0"/>
          </rPr>
          <t xml:space="preserve">
P</t>
        </r>
        <r>
          <rPr>
            <vertAlign val="subscript"/>
            <sz val="8"/>
            <rFont val="Tahoma"/>
            <family val="2"/>
          </rPr>
          <t>MAXCH</t>
        </r>
        <r>
          <rPr>
            <sz val="8"/>
            <rFont val="Tahoma"/>
            <family val="0"/>
          </rPr>
          <t xml:space="preserve"> is the limited maximum output power per channel.  
The maximum on time is derived from this parameter.</t>
        </r>
      </text>
    </comment>
    <comment ref="F9" authorId="0">
      <text>
        <r>
          <rPr>
            <b/>
            <sz val="8"/>
            <rFont val="Tahoma"/>
            <family val="0"/>
          </rPr>
          <t>Note:</t>
        </r>
        <r>
          <rPr>
            <sz val="8"/>
            <rFont val="Tahoma"/>
            <family val="0"/>
          </rPr>
          <t xml:space="preserve">
V</t>
        </r>
        <r>
          <rPr>
            <vertAlign val="subscript"/>
            <sz val="8"/>
            <rFont val="Tahoma"/>
            <family val="2"/>
          </rPr>
          <t>DDMAX</t>
        </r>
        <r>
          <rPr>
            <sz val="8"/>
            <rFont val="Tahoma"/>
            <family val="0"/>
          </rPr>
          <t xml:space="preserve"> for the FAN9612 should be above the maximum UVLO turn-on threshold (13 V) and below the maximum voltage rating (20 V).</t>
        </r>
      </text>
    </comment>
    <comment ref="F8" authorId="0">
      <text>
        <r>
          <rPr>
            <b/>
            <sz val="8"/>
            <rFont val="Tahoma"/>
            <family val="0"/>
          </rPr>
          <t>Note:</t>
        </r>
        <r>
          <rPr>
            <sz val="8"/>
            <rFont val="Tahoma"/>
            <family val="0"/>
          </rPr>
          <t xml:space="preserve">
The minimum switching frequency (f</t>
        </r>
        <r>
          <rPr>
            <vertAlign val="subscript"/>
            <sz val="8"/>
            <rFont val="Tahoma"/>
            <family val="2"/>
          </rPr>
          <t>SWMIN</t>
        </r>
        <r>
          <rPr>
            <sz val="8"/>
            <rFont val="Tahoma"/>
            <family val="0"/>
          </rPr>
          <t>) should be determined by the trade-off between efficiency and the size of magnetic components.  
The minimum switching frequency must be above the minimum frequency of the FAN9612, which is set at 18 kHz to prevent audible noise.  
It also must be set to less than the maximum frequency clamp of 600 kHz.</t>
        </r>
      </text>
    </comment>
    <comment ref="B11" authorId="0">
      <text>
        <r>
          <rPr>
            <b/>
            <sz val="8"/>
            <rFont val="Tahoma"/>
            <family val="0"/>
          </rPr>
          <t>Note:</t>
        </r>
        <r>
          <rPr>
            <sz val="8"/>
            <rFont val="Tahoma"/>
            <family val="0"/>
          </rPr>
          <t xml:space="preserve">
f</t>
        </r>
        <r>
          <rPr>
            <vertAlign val="subscript"/>
            <sz val="8"/>
            <rFont val="Tahoma"/>
            <family val="2"/>
          </rPr>
          <t>LINEMIN</t>
        </r>
        <r>
          <rPr>
            <sz val="8"/>
            <rFont val="Tahoma"/>
            <family val="0"/>
          </rPr>
          <t xml:space="preserve"> is the minimum frequency expected to see on the line.  
Default value is 50 Hz.</t>
        </r>
      </text>
    </comment>
    <comment ref="B28" authorId="0">
      <text>
        <r>
          <rPr>
            <b/>
            <sz val="8"/>
            <rFont val="Tahoma"/>
            <family val="0"/>
          </rPr>
          <t>Note:</t>
        </r>
        <r>
          <rPr>
            <sz val="8"/>
            <rFont val="Tahoma"/>
            <family val="0"/>
          </rPr>
          <t xml:space="preserve">
The maximum DC output current is determined by the maximum output power per channel (P</t>
        </r>
        <r>
          <rPr>
            <vertAlign val="subscript"/>
            <sz val="8"/>
            <rFont val="Tahoma"/>
            <family val="2"/>
          </rPr>
          <t>MAXCH</t>
        </r>
        <r>
          <rPr>
            <sz val="8"/>
            <rFont val="Tahoma"/>
            <family val="0"/>
          </rPr>
          <t>).</t>
        </r>
      </text>
    </comment>
    <comment ref="B12" authorId="0">
      <text>
        <r>
          <rPr>
            <b/>
            <sz val="8"/>
            <rFont val="Tahoma"/>
            <family val="0"/>
          </rPr>
          <t>Note:</t>
        </r>
        <r>
          <rPr>
            <sz val="8"/>
            <rFont val="Tahoma"/>
            <family val="0"/>
          </rPr>
          <t xml:space="preserve">
V</t>
        </r>
        <r>
          <rPr>
            <vertAlign val="subscript"/>
            <sz val="8"/>
            <rFont val="Tahoma"/>
            <family val="2"/>
          </rPr>
          <t>OUT</t>
        </r>
        <r>
          <rPr>
            <sz val="8"/>
            <rFont val="Tahoma"/>
            <family val="0"/>
          </rPr>
          <t xml:space="preserve"> must be set above the maximum peak line voltage in order for the FAN9612 to properly regulate the output.
In order for the ZCD circuit to operate properly, there also must be enough headroom voltage present on the auxiliary winding.
In general, it is recommended that at least 2 V be present on the auxiliary winding at high line.</t>
        </r>
      </text>
    </comment>
    <comment ref="F7" authorId="0">
      <text>
        <r>
          <rPr>
            <b/>
            <sz val="8"/>
            <rFont val="Tahoma"/>
            <family val="0"/>
          </rPr>
          <t>Note:</t>
        </r>
        <r>
          <rPr>
            <sz val="8"/>
            <rFont val="Tahoma"/>
            <family val="0"/>
          </rPr>
          <t xml:space="preserve">
V</t>
        </r>
        <r>
          <rPr>
            <vertAlign val="subscript"/>
            <sz val="8"/>
            <rFont val="Tahoma"/>
            <family val="2"/>
          </rPr>
          <t>OUTMIN</t>
        </r>
        <r>
          <rPr>
            <sz val="8"/>
            <rFont val="Tahoma"/>
            <family val="0"/>
          </rPr>
          <t xml:space="preserve"> is the minimum output voltage desired at the end of t</t>
        </r>
        <r>
          <rPr>
            <vertAlign val="subscript"/>
            <sz val="8"/>
            <rFont val="Tahoma"/>
            <family val="2"/>
          </rPr>
          <t>HOLD</t>
        </r>
        <r>
          <rPr>
            <sz val="8"/>
            <rFont val="Tahoma"/>
            <family val="0"/>
          </rPr>
          <t>.
This value must be less than the nominal DC output (VOUT) minus half the ripple voltage.</t>
        </r>
      </text>
    </comment>
    <comment ref="B14" authorId="0">
      <text>
        <r>
          <rPr>
            <b/>
            <sz val="8"/>
            <rFont val="Tahoma"/>
            <family val="0"/>
          </rPr>
          <t>Note:</t>
        </r>
        <r>
          <rPr>
            <sz val="8"/>
            <rFont val="Tahoma"/>
            <family val="0"/>
          </rPr>
          <t xml:space="preserve">
The latching output OVP (V</t>
        </r>
        <r>
          <rPr>
            <vertAlign val="subscript"/>
            <sz val="8"/>
            <rFont val="Tahoma"/>
            <family val="2"/>
          </rPr>
          <t>OUTLATCH</t>
        </r>
        <r>
          <rPr>
            <sz val="8"/>
            <rFont val="Tahoma"/>
            <family val="0"/>
          </rPr>
          <t>) must be set greater than V</t>
        </r>
        <r>
          <rPr>
            <vertAlign val="subscript"/>
            <sz val="8"/>
            <rFont val="Tahoma"/>
            <family val="2"/>
          </rPr>
          <t>OUT</t>
        </r>
        <r>
          <rPr>
            <sz val="8"/>
            <rFont val="Tahoma"/>
            <family val="0"/>
          </rPr>
          <t xml:space="preserve"> + V</t>
        </r>
        <r>
          <rPr>
            <vertAlign val="subscript"/>
            <sz val="8"/>
            <rFont val="Tahoma"/>
            <family val="2"/>
          </rPr>
          <t>OUTRIPPLE</t>
        </r>
        <r>
          <rPr>
            <sz val="8"/>
            <rFont val="Tahoma"/>
            <family val="0"/>
          </rPr>
          <t>/2 in order to not trip during normal operation.
As this is a latching protection feature, there must also be some headroom built in to allow for line and load transients.</t>
        </r>
      </text>
    </comment>
    <comment ref="B15" authorId="0">
      <text>
        <r>
          <rPr>
            <b/>
            <sz val="8"/>
            <rFont val="Tahoma"/>
            <family val="0"/>
          </rPr>
          <t>Note:</t>
        </r>
        <r>
          <rPr>
            <sz val="8"/>
            <rFont val="Tahoma"/>
            <family val="0"/>
          </rPr>
          <t xml:space="preserve">
The FAN9612 Dual Boundary Conduction Mode (BCM) controller provides practical output power in the range of 200 to 1000 W.  </t>
        </r>
      </text>
    </comment>
    <comment ref="B13" authorId="0">
      <text>
        <r>
          <rPr>
            <b/>
            <sz val="8"/>
            <rFont val="Tahoma"/>
            <family val="0"/>
          </rPr>
          <t>Note:</t>
        </r>
        <r>
          <rPr>
            <sz val="8"/>
            <rFont val="Tahoma"/>
            <family val="0"/>
          </rPr>
          <t xml:space="preserve">
V</t>
        </r>
        <r>
          <rPr>
            <vertAlign val="subscript"/>
            <sz val="8"/>
            <rFont val="Tahoma"/>
            <family val="2"/>
          </rPr>
          <t>OUTRIPPLE</t>
        </r>
        <r>
          <rPr>
            <sz val="8"/>
            <rFont val="Tahoma"/>
            <family val="0"/>
          </rPr>
          <t xml:space="preserve"> is the peak-to-peak voltage ripple on V</t>
        </r>
        <r>
          <rPr>
            <vertAlign val="subscript"/>
            <sz val="8"/>
            <rFont val="Tahoma"/>
            <family val="2"/>
          </rPr>
          <t>OUT</t>
        </r>
        <r>
          <rPr>
            <sz val="8"/>
            <rFont val="Tahoma"/>
            <family val="0"/>
          </rPr>
          <t>.</t>
        </r>
      </text>
    </comment>
    <comment ref="B16" authorId="0">
      <text>
        <r>
          <rPr>
            <b/>
            <sz val="8"/>
            <rFont val="Tahoma"/>
            <family val="0"/>
          </rPr>
          <t>Note:</t>
        </r>
        <r>
          <rPr>
            <sz val="8"/>
            <rFont val="Tahoma"/>
            <family val="0"/>
          </rPr>
          <t xml:space="preserve">
dV</t>
        </r>
        <r>
          <rPr>
            <vertAlign val="subscript"/>
            <sz val="8"/>
            <rFont val="Tahoma"/>
            <family val="2"/>
          </rPr>
          <t>OUT</t>
        </r>
        <r>
          <rPr>
            <sz val="8"/>
            <rFont val="Tahoma"/>
            <family val="0"/>
          </rPr>
          <t>/dt is the ramp rate of the output voltage during start up.
This value is a function of the maximum output current and the output capacitance.  
The ramp rate cannot exceed the ramp rate of half the maximum output current charging the output capacitor (I</t>
        </r>
        <r>
          <rPr>
            <vertAlign val="subscript"/>
            <sz val="8"/>
            <rFont val="Tahoma"/>
            <family val="2"/>
          </rPr>
          <t>OMAX</t>
        </r>
        <r>
          <rPr>
            <sz val="8"/>
            <rFont val="Tahoma"/>
            <family val="0"/>
          </rPr>
          <t>/(2*C</t>
        </r>
        <r>
          <rPr>
            <vertAlign val="subscript"/>
            <sz val="8"/>
            <rFont val="Tahoma"/>
            <family val="2"/>
          </rPr>
          <t>OUT</t>
        </r>
        <r>
          <rPr>
            <sz val="8"/>
            <rFont val="Tahoma"/>
            <family val="0"/>
          </rPr>
          <t>).</t>
        </r>
      </text>
    </comment>
    <comment ref="B9" authorId="0">
      <text>
        <r>
          <rPr>
            <b/>
            <sz val="8"/>
            <rFont val="Tahoma"/>
            <family val="0"/>
          </rPr>
          <t>Note:</t>
        </r>
        <r>
          <rPr>
            <sz val="8"/>
            <rFont val="Tahoma"/>
            <family val="0"/>
          </rPr>
          <t xml:space="preserve">
The V</t>
        </r>
        <r>
          <rPr>
            <vertAlign val="subscript"/>
            <sz val="8"/>
            <rFont val="Tahoma"/>
            <family val="2"/>
          </rPr>
          <t>LINENominal</t>
        </r>
        <r>
          <rPr>
            <sz val="8"/>
            <rFont val="Tahoma"/>
            <family val="0"/>
          </rPr>
          <t xml:space="preserve"> parameter sets the RMS voltage at which the FAN9612 typically operates.  </t>
        </r>
      </text>
    </comment>
    <comment ref="B23" authorId="0">
      <text>
        <r>
          <rPr>
            <b/>
            <sz val="8"/>
            <rFont val="Tahoma"/>
            <family val="0"/>
          </rPr>
          <t>Note:</t>
        </r>
        <r>
          <rPr>
            <sz val="8"/>
            <rFont val="Tahoma"/>
            <family val="0"/>
          </rPr>
          <t xml:space="preserve">
P</t>
        </r>
        <r>
          <rPr>
            <vertAlign val="subscript"/>
            <sz val="8"/>
            <rFont val="Tahoma"/>
            <family val="2"/>
          </rPr>
          <t>OUTCH</t>
        </r>
        <r>
          <rPr>
            <sz val="8"/>
            <rFont val="Tahoma"/>
            <family val="0"/>
          </rPr>
          <t xml:space="preserve"> is the full load output power per channel.  </t>
        </r>
      </text>
    </comment>
    <comment ref="F19" authorId="1">
      <text>
        <r>
          <rPr>
            <b/>
            <sz val="8"/>
            <rFont val="Tahoma"/>
            <family val="2"/>
          </rPr>
          <t>Note:</t>
        </r>
        <r>
          <rPr>
            <sz val="8"/>
            <rFont val="Tahoma"/>
            <family val="2"/>
          </rPr>
          <t xml:space="preserve">
Line over voltage protection trip point.
In general: VLine,ovp=VLINEOFF*3.7/0.925.</t>
        </r>
      </text>
    </comment>
    <comment ref="F20" authorId="1">
      <text>
        <r>
          <rPr>
            <b/>
            <sz val="8"/>
            <rFont val="Tahoma"/>
            <family val="2"/>
          </rPr>
          <t>Note:</t>
        </r>
        <r>
          <rPr>
            <sz val="8"/>
            <rFont val="Tahoma"/>
            <family val="2"/>
          </rPr>
          <t xml:space="preserve">
RINHYST can be saved if this min. allowable brown-out hysteresis is higher than or equals to (Vline_On - Vline_Off)</t>
        </r>
      </text>
    </comment>
    <comment ref="B31" authorId="1">
      <text>
        <r>
          <rPr>
            <b/>
            <sz val="8"/>
            <rFont val="Tahoma"/>
            <family val="2"/>
          </rPr>
          <t>Note:</t>
        </r>
        <r>
          <rPr>
            <sz val="8"/>
            <rFont val="Tahoma"/>
            <family val="2"/>
          </rPr>
          <t xml:space="preserve">
Typical value for reference.</t>
        </r>
      </text>
    </comment>
    <comment ref="F36" authorId="1">
      <text>
        <r>
          <rPr>
            <b/>
            <sz val="8"/>
            <rFont val="Tahoma"/>
            <family val="2"/>
          </rPr>
          <t>Note:</t>
        </r>
        <r>
          <rPr>
            <sz val="8"/>
            <rFont val="Tahoma"/>
            <family val="2"/>
          </rPr>
          <t xml:space="preserve">
Typical value for reference.</t>
        </r>
      </text>
    </comment>
    <comment ref="F37" authorId="1">
      <text>
        <r>
          <rPr>
            <b/>
            <sz val="8"/>
            <rFont val="Tahoma"/>
            <family val="2"/>
          </rPr>
          <t>Note:</t>
        </r>
        <r>
          <rPr>
            <sz val="8"/>
            <rFont val="Tahoma"/>
            <family val="2"/>
          </rPr>
          <t xml:space="preserve">
Typical value for reference.</t>
        </r>
      </text>
    </comment>
  </commentList>
</comments>
</file>

<file path=xl/comments5.xml><?xml version="1.0" encoding="utf-8"?>
<comments xmlns="http://schemas.openxmlformats.org/spreadsheetml/2006/main">
  <authors>
    <author>Note</author>
    <author>Fairchild Semiconductor</author>
  </authors>
  <commentList>
    <comment ref="A49"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
</t>
        </r>
      </text>
    </comment>
    <comment ref="A22"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A43"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A38"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A39"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A40"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A8"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A9"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A12"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A13"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A16"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A17"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A18"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A19"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A46"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A30"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A33" authorId="0">
      <text>
        <r>
          <rPr>
            <b/>
            <sz val="8"/>
            <rFont val="Tahoma"/>
            <family val="0"/>
          </rPr>
          <t>Note:</t>
        </r>
        <r>
          <rPr>
            <sz val="8"/>
            <rFont val="Tahoma"/>
            <family val="0"/>
          </rPr>
          <t xml:space="preserve">
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A25"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 ref="C19" authorId="0">
      <text>
        <r>
          <rPr>
            <b/>
            <sz val="8"/>
            <rFont val="Tahoma"/>
            <family val="0"/>
          </rPr>
          <t>Note:</t>
        </r>
        <r>
          <rPr>
            <sz val="8"/>
            <rFont val="Tahoma"/>
            <family val="0"/>
          </rPr>
          <t xml:space="preserve">
This value is automatically updated based on the actual selected values of R</t>
        </r>
        <r>
          <rPr>
            <vertAlign val="subscript"/>
            <sz val="8"/>
            <rFont val="Tahoma"/>
            <family val="2"/>
          </rPr>
          <t>IN2</t>
        </r>
        <r>
          <rPr>
            <sz val="8"/>
            <rFont val="Tahoma"/>
            <family val="0"/>
          </rPr>
          <t xml:space="preserve"> and R</t>
        </r>
        <r>
          <rPr>
            <vertAlign val="subscript"/>
            <sz val="8"/>
            <rFont val="Tahoma"/>
            <family val="2"/>
          </rPr>
          <t>INHYST</t>
        </r>
        <r>
          <rPr>
            <sz val="8"/>
            <rFont val="Tahoma"/>
            <family val="0"/>
          </rPr>
          <t>.</t>
        </r>
      </text>
    </comment>
    <comment ref="C25" authorId="0">
      <text>
        <r>
          <rPr>
            <b/>
            <sz val="8"/>
            <rFont val="Tahoma"/>
            <family val="0"/>
          </rPr>
          <t>Note:</t>
        </r>
        <r>
          <rPr>
            <sz val="8"/>
            <rFont val="Tahoma"/>
            <family val="0"/>
          </rPr>
          <t xml:space="preserve">
This value is automatically updated based on the actual component values selected above.</t>
        </r>
      </text>
    </comment>
    <comment ref="C30" authorId="0">
      <text>
        <r>
          <rPr>
            <b/>
            <sz val="8"/>
            <rFont val="Tahoma"/>
            <family val="0"/>
          </rPr>
          <t>Note:</t>
        </r>
        <r>
          <rPr>
            <sz val="8"/>
            <rFont val="Tahoma"/>
            <family val="0"/>
          </rPr>
          <t xml:space="preserve">
This value is automatically updated based on the actual component values selected above.</t>
        </r>
      </text>
    </comment>
    <comment ref="C33" authorId="0">
      <text>
        <r>
          <rPr>
            <b/>
            <sz val="8"/>
            <rFont val="Tahoma"/>
            <family val="0"/>
          </rPr>
          <t>Note:</t>
        </r>
        <r>
          <rPr>
            <sz val="8"/>
            <rFont val="Tahoma"/>
            <family val="0"/>
          </rPr>
          <t xml:space="preserve">
This value is automatically updated based on the actual component values selected above.</t>
        </r>
      </text>
    </comment>
    <comment ref="C38" authorId="0">
      <text>
        <r>
          <rPr>
            <b/>
            <sz val="8"/>
            <rFont val="Tahoma"/>
            <family val="0"/>
          </rPr>
          <t>Note:</t>
        </r>
        <r>
          <rPr>
            <sz val="8"/>
            <rFont val="Tahoma"/>
            <family val="0"/>
          </rPr>
          <t xml:space="preserve">
This value is automatically updated based on the actual component values selected above.</t>
        </r>
      </text>
    </comment>
    <comment ref="C39" authorId="0">
      <text>
        <r>
          <rPr>
            <b/>
            <sz val="8"/>
            <rFont val="Tahoma"/>
            <family val="0"/>
          </rPr>
          <t>Note:</t>
        </r>
        <r>
          <rPr>
            <sz val="8"/>
            <rFont val="Tahoma"/>
            <family val="0"/>
          </rPr>
          <t xml:space="preserve">
This value is automatically updated based on the actual component values selected above.</t>
        </r>
      </text>
    </comment>
    <comment ref="C40" authorId="0">
      <text>
        <r>
          <rPr>
            <b/>
            <sz val="8"/>
            <rFont val="Tahoma"/>
            <family val="0"/>
          </rPr>
          <t>Note:</t>
        </r>
        <r>
          <rPr>
            <sz val="8"/>
            <rFont val="Tahoma"/>
            <family val="0"/>
          </rPr>
          <t xml:space="preserve">
This value is automatically updated based on the actual component values selected above.</t>
        </r>
      </text>
    </comment>
    <comment ref="C43" authorId="0">
      <text>
        <r>
          <rPr>
            <b/>
            <sz val="8"/>
            <rFont val="Tahoma"/>
            <family val="0"/>
          </rPr>
          <t>Note:</t>
        </r>
        <r>
          <rPr>
            <sz val="8"/>
            <rFont val="Tahoma"/>
            <family val="0"/>
          </rPr>
          <t xml:space="preserve">
This value is automatically updated based on the actual component values selected above.</t>
        </r>
      </text>
    </comment>
    <comment ref="C49" authorId="0">
      <text>
        <r>
          <rPr>
            <b/>
            <sz val="8"/>
            <rFont val="Tahoma"/>
            <family val="0"/>
          </rPr>
          <t>Note:</t>
        </r>
        <r>
          <rPr>
            <sz val="8"/>
            <rFont val="Tahoma"/>
            <family val="0"/>
          </rPr>
          <t xml:space="preserve">
This value is automatically updated based on the actual component values selected above.</t>
        </r>
      </text>
    </comment>
    <comment ref="C18" authorId="1">
      <text>
        <r>
          <rPr>
            <b/>
            <sz val="8"/>
            <rFont val="Tahoma"/>
            <family val="2"/>
          </rPr>
          <t>Note:</t>
        </r>
        <r>
          <rPr>
            <sz val="8"/>
            <rFont val="Tahoma"/>
            <family val="2"/>
          </rPr>
          <t xml:space="preserve">
This value is automatically updated based on the actual component values selected above.</t>
        </r>
      </text>
    </comment>
  </commentList>
</comments>
</file>

<file path=xl/comments6.xml><?xml version="1.0" encoding="utf-8"?>
<comments xmlns="http://schemas.openxmlformats.org/spreadsheetml/2006/main">
  <authors>
    <author>Note</author>
  </authors>
  <commentList>
    <comment ref="B32"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
</t>
        </r>
      </text>
    </comment>
    <comment ref="F31"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F32"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B34"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F33"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B35"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F34"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B36"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F35"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B37"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F36"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B38"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B39"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B40"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F39"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F30"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F40" authorId="0">
      <text>
        <r>
          <rPr>
            <b/>
            <sz val="8"/>
            <rFont val="Tahoma"/>
            <family val="0"/>
          </rPr>
          <t>Note:</t>
        </r>
        <r>
          <rPr>
            <sz val="8"/>
            <rFont val="Tahoma"/>
            <family val="0"/>
          </rPr>
          <t xml:space="preserve">
The size and type of current sense resistors depends on their power dissipation and manufacturing considerations.</t>
        </r>
      </text>
    </comment>
    <comment ref="B30" authorId="0">
      <text>
        <r>
          <rPr>
            <b/>
            <sz val="8"/>
            <rFont val="Tahoma"/>
            <family val="0"/>
          </rPr>
          <t xml:space="preserve">Note:
</t>
        </r>
        <r>
          <rPr>
            <sz val="8"/>
            <rFont val="Tahoma"/>
            <family val="2"/>
          </rPr>
          <t>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B31"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List>
</comments>
</file>

<file path=xl/comments7.xml><?xml version="1.0" encoding="utf-8"?>
<comments xmlns="http://schemas.openxmlformats.org/spreadsheetml/2006/main">
  <authors>
    <author>Fairchild Semiconductor</author>
  </authors>
  <commentList>
    <comment ref="B6" authorId="0">
      <text>
        <r>
          <rPr>
            <b/>
            <sz val="8"/>
            <rFont val="Tahoma"/>
            <family val="2"/>
          </rPr>
          <t>Note:</t>
        </r>
        <r>
          <rPr>
            <sz val="8"/>
            <rFont val="Tahoma"/>
            <family val="2"/>
          </rPr>
          <t xml:space="preserve">
Please input the output current for closed-loop gain Bode Plot. The default value in this cell is the full load output current.</t>
        </r>
      </text>
    </comment>
  </commentList>
</comments>
</file>

<file path=xl/comments8.xml><?xml version="1.0" encoding="utf-8"?>
<comments xmlns="http://schemas.openxmlformats.org/spreadsheetml/2006/main">
  <authors>
    <author>Note</author>
    <author> </author>
  </authors>
  <commentList>
    <comment ref="B6" authorId="0">
      <text>
        <r>
          <rPr>
            <b/>
            <sz val="8"/>
            <rFont val="Tahoma"/>
            <family val="0"/>
          </rPr>
          <t>Note:</t>
        </r>
        <r>
          <rPr>
            <sz val="8"/>
            <rFont val="Tahoma"/>
            <family val="0"/>
          </rPr>
          <t xml:space="preserve">
Efficiency of magnetic component &lt;1</t>
        </r>
      </text>
    </comment>
    <comment ref="B8" authorId="0">
      <text>
        <r>
          <rPr>
            <b/>
            <sz val="8"/>
            <rFont val="Tahoma"/>
            <family val="0"/>
          </rPr>
          <t>Note:</t>
        </r>
        <r>
          <rPr>
            <sz val="8"/>
            <rFont val="Tahoma"/>
            <family val="0"/>
          </rPr>
          <t xml:space="preserve">
Window utilization factor&lt;=1, practical &lt; 0.5</t>
        </r>
      </text>
    </comment>
    <comment ref="B9" authorId="0">
      <text>
        <r>
          <rPr>
            <b/>
            <sz val="8"/>
            <rFont val="Tahoma"/>
            <family val="0"/>
          </rPr>
          <t>Note:</t>
        </r>
        <r>
          <rPr>
            <sz val="8"/>
            <rFont val="Tahoma"/>
            <family val="0"/>
          </rPr>
          <t xml:space="preserve">
Current density, 250&lt;CD&lt;550, (circular mil/amp)</t>
        </r>
      </text>
    </comment>
    <comment ref="B10" authorId="0">
      <text>
        <r>
          <rPr>
            <b/>
            <sz val="8"/>
            <rFont val="Tahoma"/>
            <family val="0"/>
          </rPr>
          <t>Note:</t>
        </r>
        <r>
          <rPr>
            <sz val="8"/>
            <rFont val="Tahoma"/>
            <family val="0"/>
          </rPr>
          <t xml:space="preserve">
Magnetization (1=single end, 2=double end)</t>
        </r>
      </text>
    </comment>
    <comment ref="B11" authorId="0">
      <text>
        <r>
          <rPr>
            <b/>
            <sz val="8"/>
            <rFont val="Tahoma"/>
            <family val="0"/>
          </rPr>
          <t>Note:</t>
        </r>
        <r>
          <rPr>
            <sz val="8"/>
            <rFont val="Tahoma"/>
            <family val="0"/>
          </rPr>
          <t xml:space="preserve">
Cooling factor (1=no cooling, 0.3=100 CFM)</t>
        </r>
      </text>
    </comment>
    <comment ref="B19" authorId="0">
      <text>
        <r>
          <rPr>
            <b/>
            <sz val="8"/>
            <rFont val="Tahoma"/>
            <family val="0"/>
          </rPr>
          <t>Note:</t>
        </r>
        <r>
          <rPr>
            <sz val="8"/>
            <rFont val="Tahoma"/>
            <family val="0"/>
          </rPr>
          <t xml:space="preserve">
Chosen core for this design. Multiple Ae (effective cross section area) by Aw (window area) to determine Area Product for a core of interest</t>
        </r>
      </text>
    </comment>
    <comment ref="B20" authorId="0">
      <text>
        <r>
          <rPr>
            <b/>
            <sz val="8"/>
            <rFont val="Tahoma"/>
            <family val="0"/>
          </rPr>
          <t>Note:</t>
        </r>
        <r>
          <rPr>
            <sz val="8"/>
            <rFont val="Tahoma"/>
            <family val="0"/>
          </rPr>
          <t xml:space="preserve">
Enter cross section for chosen core</t>
        </r>
      </text>
    </comment>
    <comment ref="B26" authorId="0">
      <text>
        <r>
          <rPr>
            <b/>
            <sz val="8"/>
            <rFont val="Tahoma"/>
            <family val="0"/>
          </rPr>
          <t>Note:</t>
        </r>
        <r>
          <rPr>
            <sz val="8"/>
            <rFont val="Tahoma"/>
            <family val="0"/>
          </rPr>
          <t xml:space="preserve">
Required circular mils based on input current density. Check CM in AWG table shown to determine equivalent wire gauge.</t>
        </r>
      </text>
    </comment>
    <comment ref="B27" authorId="0">
      <text>
        <r>
          <rPr>
            <b/>
            <sz val="8"/>
            <rFont val="Tahoma"/>
            <family val="0"/>
          </rPr>
          <t>Note:</t>
        </r>
        <r>
          <rPr>
            <sz val="8"/>
            <rFont val="Tahoma"/>
            <family val="0"/>
          </rPr>
          <t xml:space="preserve">
Skin depth (max current penetration radius)</t>
        </r>
      </text>
    </comment>
    <comment ref="F25" authorId="1">
      <text>
        <r>
          <rPr>
            <b/>
            <sz val="8"/>
            <rFont val="Tahoma"/>
            <family val="2"/>
          </rPr>
          <t>Note:</t>
        </r>
        <r>
          <rPr>
            <sz val="8"/>
            <rFont val="Tahoma"/>
            <family val="2"/>
          </rPr>
          <t xml:space="preserve">
Wire type is selected based upon required circular mils (current density) and skin depth.</t>
        </r>
      </text>
    </comment>
    <comment ref="F26" authorId="1">
      <text>
        <r>
          <rPr>
            <b/>
            <sz val="8"/>
            <rFont val="Tahoma"/>
            <family val="2"/>
          </rPr>
          <t>Note:</t>
        </r>
        <r>
          <rPr>
            <sz val="8"/>
            <rFont val="Tahoma"/>
            <family val="2"/>
          </rPr>
          <t xml:space="preserve">
ZCD turns calculation. Winding only carries 1mA, no litz required, use AWG#32. No effect on efficiency. If possible, apply this winding away from air gap.</t>
        </r>
      </text>
    </comment>
    <comment ref="B30" authorId="0">
      <text>
        <r>
          <rPr>
            <b/>
            <sz val="8"/>
            <rFont val="Tahoma"/>
            <family val="0"/>
          </rPr>
          <t>Note:</t>
        </r>
        <r>
          <rPr>
            <sz val="8"/>
            <rFont val="Tahoma"/>
            <family val="0"/>
          </rPr>
          <t xml:space="preserve">
40x#38 litz = 16.21W/1000 ft, or 53.1824 mW/m</t>
        </r>
      </text>
    </comment>
    <comment ref="B32" authorId="0">
      <text>
        <r>
          <rPr>
            <b/>
            <sz val="8"/>
            <rFont val="Tahoma"/>
            <family val="0"/>
          </rPr>
          <t>Note:</t>
        </r>
        <r>
          <rPr>
            <sz val="8"/>
            <rFont val="Tahoma"/>
            <family val="0"/>
          </rPr>
          <t xml:space="preserve">
Multiply by 2 to account for flattening of litz as it is wound across bobbin breadth</t>
        </r>
      </text>
    </comment>
    <comment ref="F31" authorId="0">
      <text>
        <r>
          <rPr>
            <b/>
            <sz val="8"/>
            <rFont val="Tahoma"/>
            <family val="0"/>
          </rPr>
          <t>Note:</t>
        </r>
        <r>
          <rPr>
            <sz val="8"/>
            <rFont val="Tahoma"/>
            <family val="0"/>
          </rPr>
          <t xml:space="preserve">
2 layers of insulating tape applied between every layer of adjacent copper and outside copper layer. This can be modified but has been found to minimize winding capacitance.</t>
        </r>
      </text>
    </comment>
    <comment ref="F32" authorId="0">
      <text>
        <r>
          <rPr>
            <b/>
            <sz val="8"/>
            <rFont val="Tahoma"/>
            <family val="0"/>
          </rPr>
          <t>Note:</t>
        </r>
        <r>
          <rPr>
            <sz val="8"/>
            <rFont val="Tahoma"/>
            <family val="0"/>
          </rPr>
          <t xml:space="preserve">
Divide by 2 to account for flattening of litz as it is stacked across adjacent layers</t>
        </r>
      </text>
    </comment>
    <comment ref="F34" authorId="0">
      <text>
        <r>
          <rPr>
            <b/>
            <sz val="8"/>
            <rFont val="Tahoma"/>
            <family val="0"/>
          </rPr>
          <t>Note:</t>
        </r>
        <r>
          <rPr>
            <sz val="8"/>
            <rFont val="Tahoma"/>
            <family val="0"/>
          </rPr>
          <t xml:space="preserve">
Verify estimated total Bobbin_Area is less than available window area, WA, from bobbin data sheet. If Bobbin_Area is larger than allowable bobbin area, iterate design again.  </t>
        </r>
      </text>
    </comment>
    <comment ref="F36" authorId="1">
      <text>
        <r>
          <rPr>
            <b/>
            <sz val="8"/>
            <rFont val="Tahoma"/>
            <family val="2"/>
          </rPr>
          <t>Note:</t>
        </r>
        <r>
          <rPr>
            <sz val="8"/>
            <rFont val="Tahoma"/>
            <family val="2"/>
          </rPr>
          <t xml:space="preserve">
AC copper and core losses are difficult to predict due to the variable switching frequency and how much power is processed verses switching frequency variation. For example at the peak of the AC line where the current and voltage are maximum, the frequency is minimum. Conversely, near the zero crossing of the AC line voltage, the frequency is maximum but the amount of power processed is nearly zero. Therefore, AC losses are neglected for the purpose of designing the inductors. Following these guidelines outlined for core and litz wire selection will result in an inductor operating at very high efficiency.</t>
        </r>
      </text>
    </comment>
  </commentList>
</comments>
</file>

<file path=xl/sharedStrings.xml><?xml version="1.0" encoding="utf-8"?>
<sst xmlns="http://schemas.openxmlformats.org/spreadsheetml/2006/main" count="483" uniqueCount="308">
  <si>
    <t>Min. AC RMS Input (turn-on)</t>
  </si>
  <si>
    <t>Min. Line Frequency</t>
  </si>
  <si>
    <t>Nominal DC Output</t>
  </si>
  <si>
    <t>Latching Output OVP</t>
  </si>
  <si>
    <t>Desired Hold Up Time</t>
  </si>
  <si>
    <t>Min. Switching Frequency</t>
  </si>
  <si>
    <t>Max. DC Bias (for FAN9612)</t>
  </si>
  <si>
    <t>From Power Supply Specification:</t>
  </si>
  <si>
    <r>
      <t>V</t>
    </r>
    <r>
      <rPr>
        <vertAlign val="subscript"/>
        <sz val="8"/>
        <color indexed="8"/>
        <rFont val="Verdana"/>
        <family val="2"/>
      </rPr>
      <t>LINE.ON</t>
    </r>
  </si>
  <si>
    <r>
      <t>V</t>
    </r>
    <r>
      <rPr>
        <vertAlign val="subscript"/>
        <sz val="8"/>
        <color indexed="8"/>
        <rFont val="Verdana"/>
        <family val="2"/>
      </rPr>
      <t>LINE.OFF</t>
    </r>
  </si>
  <si>
    <r>
      <t>V</t>
    </r>
    <r>
      <rPr>
        <vertAlign val="subscript"/>
        <sz val="8"/>
        <color indexed="8"/>
        <rFont val="Verdana"/>
        <family val="2"/>
      </rPr>
      <t>LINE.MAX</t>
    </r>
  </si>
  <si>
    <r>
      <t>f</t>
    </r>
    <r>
      <rPr>
        <vertAlign val="subscript"/>
        <sz val="8"/>
        <color indexed="8"/>
        <rFont val="Verdana"/>
        <family val="2"/>
      </rPr>
      <t>LINE,MIN</t>
    </r>
  </si>
  <si>
    <r>
      <t>V</t>
    </r>
    <r>
      <rPr>
        <vertAlign val="subscript"/>
        <sz val="8"/>
        <color indexed="8"/>
        <rFont val="Verdana"/>
        <family val="2"/>
      </rPr>
      <t>OUT</t>
    </r>
  </si>
  <si>
    <r>
      <t xml:space="preserve">Output Voltage Ripple (2 </t>
    </r>
    <r>
      <rPr>
        <b/>
        <sz val="8"/>
        <rFont val="Verdana"/>
        <family val="2"/>
      </rPr>
      <t xml:space="preserve">· </t>
    </r>
    <r>
      <rPr>
        <sz val="8"/>
        <rFont val="Verdana"/>
        <family val="2"/>
      </rPr>
      <t>f</t>
    </r>
    <r>
      <rPr>
        <vertAlign val="subscript"/>
        <sz val="8"/>
        <rFont val="Verdana"/>
        <family val="2"/>
      </rPr>
      <t>LINE</t>
    </r>
    <r>
      <rPr>
        <sz val="8"/>
        <rFont val="Verdana"/>
        <family val="2"/>
      </rPr>
      <t>)</t>
    </r>
  </si>
  <si>
    <r>
      <t>V</t>
    </r>
    <r>
      <rPr>
        <vertAlign val="subscript"/>
        <sz val="8"/>
        <color indexed="8"/>
        <rFont val="Verdana"/>
        <family val="2"/>
      </rPr>
      <t>OUT,RIPPLE</t>
    </r>
  </si>
  <si>
    <r>
      <t>V</t>
    </r>
    <r>
      <rPr>
        <vertAlign val="subscript"/>
        <sz val="8"/>
        <color indexed="8"/>
        <rFont val="Verdana"/>
        <family val="2"/>
      </rPr>
      <t>OUT,LATCH</t>
    </r>
  </si>
  <si>
    <r>
      <t>P</t>
    </r>
    <r>
      <rPr>
        <vertAlign val="subscript"/>
        <sz val="8"/>
        <color indexed="8"/>
        <rFont val="Verdana"/>
        <family val="2"/>
      </rPr>
      <t>OUT</t>
    </r>
  </si>
  <si>
    <r>
      <t>t</t>
    </r>
    <r>
      <rPr>
        <vertAlign val="subscript"/>
        <sz val="8"/>
        <color indexed="8"/>
        <rFont val="Verdana"/>
        <family val="2"/>
      </rPr>
      <t>HOLD</t>
    </r>
  </si>
  <si>
    <r>
      <t>Min. DC Output (end of t</t>
    </r>
    <r>
      <rPr>
        <vertAlign val="subscript"/>
        <sz val="8"/>
        <color indexed="8"/>
        <rFont val="Verdana"/>
        <family val="2"/>
      </rPr>
      <t>HOLD</t>
    </r>
    <r>
      <rPr>
        <sz val="8"/>
        <color indexed="8"/>
        <rFont val="Verdana"/>
        <family val="2"/>
      </rPr>
      <t>)</t>
    </r>
  </si>
  <si>
    <r>
      <t>V</t>
    </r>
    <r>
      <rPr>
        <vertAlign val="subscript"/>
        <sz val="8"/>
        <color indexed="8"/>
        <rFont val="Verdana"/>
        <family val="2"/>
      </rPr>
      <t>OUT,MIN</t>
    </r>
  </si>
  <si>
    <r>
      <t>f</t>
    </r>
    <r>
      <rPr>
        <vertAlign val="subscript"/>
        <sz val="8"/>
        <color indexed="8"/>
        <rFont val="Verdana"/>
        <family val="2"/>
      </rPr>
      <t>SW,MIN</t>
    </r>
  </si>
  <si>
    <t>Estimated Conversion Efficiency</t>
  </si>
  <si>
    <t>η</t>
  </si>
  <si>
    <t>Max. Output Power per Channel</t>
  </si>
  <si>
    <t>Output Capacitance</t>
  </si>
  <si>
    <t>Boost Inductance per Channel</t>
  </si>
  <si>
    <t>L</t>
  </si>
  <si>
    <t>Max. On-Time per Channel</t>
  </si>
  <si>
    <t>N</t>
  </si>
  <si>
    <r>
      <t>P</t>
    </r>
    <r>
      <rPr>
        <vertAlign val="subscript"/>
        <sz val="8"/>
        <color indexed="8"/>
        <rFont val="Verdana"/>
        <family val="2"/>
      </rPr>
      <t>MAX,CH</t>
    </r>
  </si>
  <si>
    <r>
      <t>C</t>
    </r>
    <r>
      <rPr>
        <vertAlign val="subscript"/>
        <sz val="8"/>
        <color indexed="8"/>
        <rFont val="Verdana"/>
        <family val="2"/>
      </rPr>
      <t>OUT</t>
    </r>
  </si>
  <si>
    <r>
      <t>t</t>
    </r>
    <r>
      <rPr>
        <vertAlign val="subscript"/>
        <sz val="8"/>
        <color indexed="8"/>
        <rFont val="Verdana"/>
        <family val="2"/>
      </rPr>
      <t>ON,MAX</t>
    </r>
  </si>
  <si>
    <r>
      <t>Turns Ratio (N</t>
    </r>
    <r>
      <rPr>
        <vertAlign val="subscript"/>
        <sz val="8"/>
        <color indexed="8"/>
        <rFont val="Verdana"/>
        <family val="2"/>
      </rPr>
      <t>BOOST</t>
    </r>
    <r>
      <rPr>
        <sz val="8"/>
        <color indexed="8"/>
        <rFont val="Verdana"/>
        <family val="2"/>
      </rPr>
      <t xml:space="preserve"> / N</t>
    </r>
    <r>
      <rPr>
        <vertAlign val="subscript"/>
        <sz val="8"/>
        <color indexed="8"/>
        <rFont val="Verdana"/>
        <family val="2"/>
      </rPr>
      <t>AUX</t>
    </r>
    <r>
      <rPr>
        <sz val="8"/>
        <color indexed="8"/>
        <rFont val="Verdana"/>
        <family val="2"/>
      </rPr>
      <t>)</t>
    </r>
  </si>
  <si>
    <t>Peak Inductor Current</t>
  </si>
  <si>
    <t>Max. DC Output Current (to load)</t>
  </si>
  <si>
    <r>
      <t>I</t>
    </r>
    <r>
      <rPr>
        <vertAlign val="subscript"/>
        <sz val="8"/>
        <color indexed="8"/>
        <rFont val="Verdana"/>
        <family val="2"/>
      </rPr>
      <t>L,PK</t>
    </r>
  </si>
  <si>
    <r>
      <t>I</t>
    </r>
    <r>
      <rPr>
        <vertAlign val="subscript"/>
        <sz val="8"/>
        <color indexed="8"/>
        <rFont val="Verdana"/>
        <family val="2"/>
      </rPr>
      <t>O,MAX</t>
    </r>
  </si>
  <si>
    <t>Calculated Component Values:</t>
  </si>
  <si>
    <t>Zero Current Detect Resistor</t>
  </si>
  <si>
    <t>Bypass Capacitor for 5V Bias</t>
  </si>
  <si>
    <t>Maximum On-time Set</t>
  </si>
  <si>
    <t>Soft-Start Capacitor</t>
  </si>
  <si>
    <t>Compensation Capacitor</t>
  </si>
  <si>
    <t>Compensation Resistor</t>
  </si>
  <si>
    <t>Feedback Divider</t>
  </si>
  <si>
    <t>Over Voltage Sense Divider</t>
  </si>
  <si>
    <t>Input Voltage Sense Divider</t>
  </si>
  <si>
    <t>Brown-Out Hysteresis Set</t>
  </si>
  <si>
    <t>Gate Drive Resistor</t>
  </si>
  <si>
    <t>Bypass Capacitor for VDD - HF</t>
  </si>
  <si>
    <t>Startup Energy Storage for VDD</t>
  </si>
  <si>
    <t>Current Sense Resistor</t>
  </si>
  <si>
    <r>
      <t>R</t>
    </r>
    <r>
      <rPr>
        <vertAlign val="subscript"/>
        <sz val="8"/>
        <color indexed="8"/>
        <rFont val="Verdana"/>
        <family val="2"/>
      </rPr>
      <t>ZCD1</t>
    </r>
    <r>
      <rPr>
        <sz val="8"/>
        <color indexed="8"/>
        <rFont val="Verdana"/>
        <family val="2"/>
      </rPr>
      <t>, R</t>
    </r>
    <r>
      <rPr>
        <vertAlign val="subscript"/>
        <sz val="8"/>
        <color indexed="8"/>
        <rFont val="Verdana"/>
        <family val="2"/>
      </rPr>
      <t>ZCD2</t>
    </r>
  </si>
  <si>
    <r>
      <t>C</t>
    </r>
    <r>
      <rPr>
        <vertAlign val="subscript"/>
        <sz val="8"/>
        <color indexed="8"/>
        <rFont val="Verdana"/>
        <family val="2"/>
      </rPr>
      <t>5VB</t>
    </r>
  </si>
  <si>
    <r>
      <t>R</t>
    </r>
    <r>
      <rPr>
        <vertAlign val="subscript"/>
        <sz val="8"/>
        <color indexed="8"/>
        <rFont val="Verdana"/>
        <family val="2"/>
      </rPr>
      <t>MOT</t>
    </r>
  </si>
  <si>
    <r>
      <t>C</t>
    </r>
    <r>
      <rPr>
        <vertAlign val="subscript"/>
        <sz val="8"/>
        <color indexed="8"/>
        <rFont val="Verdana"/>
        <family val="2"/>
      </rPr>
      <t>SS</t>
    </r>
  </si>
  <si>
    <r>
      <t>C</t>
    </r>
    <r>
      <rPr>
        <vertAlign val="subscript"/>
        <sz val="8"/>
        <color indexed="8"/>
        <rFont val="Verdana"/>
        <family val="2"/>
      </rPr>
      <t>COMP,LF</t>
    </r>
  </si>
  <si>
    <r>
      <t>R</t>
    </r>
    <r>
      <rPr>
        <vertAlign val="subscript"/>
        <sz val="8"/>
        <color indexed="8"/>
        <rFont val="Verdana"/>
        <family val="2"/>
      </rPr>
      <t>COMP</t>
    </r>
  </si>
  <si>
    <r>
      <t>C</t>
    </r>
    <r>
      <rPr>
        <vertAlign val="subscript"/>
        <sz val="8"/>
        <color indexed="8"/>
        <rFont val="Verdana"/>
        <family val="2"/>
      </rPr>
      <t>COMP,HF</t>
    </r>
  </si>
  <si>
    <r>
      <t>R</t>
    </r>
    <r>
      <rPr>
        <vertAlign val="subscript"/>
        <sz val="8"/>
        <color indexed="8"/>
        <rFont val="Verdana"/>
        <family val="2"/>
      </rPr>
      <t>FB1</t>
    </r>
  </si>
  <si>
    <r>
      <t>R</t>
    </r>
    <r>
      <rPr>
        <vertAlign val="subscript"/>
        <sz val="8"/>
        <color indexed="8"/>
        <rFont val="Verdana"/>
        <family val="2"/>
      </rPr>
      <t>FB2</t>
    </r>
  </si>
  <si>
    <r>
      <t>R</t>
    </r>
    <r>
      <rPr>
        <vertAlign val="subscript"/>
        <sz val="8"/>
        <color indexed="8"/>
        <rFont val="Verdana"/>
        <family val="2"/>
      </rPr>
      <t>OV1</t>
    </r>
  </si>
  <si>
    <r>
      <t>R</t>
    </r>
    <r>
      <rPr>
        <vertAlign val="subscript"/>
        <sz val="8"/>
        <color indexed="8"/>
        <rFont val="Verdana"/>
        <family val="2"/>
      </rPr>
      <t>OV2</t>
    </r>
  </si>
  <si>
    <r>
      <t>R</t>
    </r>
    <r>
      <rPr>
        <vertAlign val="subscript"/>
        <sz val="8"/>
        <color indexed="8"/>
        <rFont val="Verdana"/>
        <family val="2"/>
      </rPr>
      <t>IN1</t>
    </r>
  </si>
  <si>
    <r>
      <t>R</t>
    </r>
    <r>
      <rPr>
        <vertAlign val="subscript"/>
        <sz val="8"/>
        <color indexed="8"/>
        <rFont val="Verdana"/>
        <family val="2"/>
      </rPr>
      <t>IN2</t>
    </r>
  </si>
  <si>
    <r>
      <t>R</t>
    </r>
    <r>
      <rPr>
        <vertAlign val="subscript"/>
        <sz val="8"/>
        <color indexed="8"/>
        <rFont val="Verdana"/>
        <family val="2"/>
      </rPr>
      <t>INHYST</t>
    </r>
  </si>
  <si>
    <r>
      <t>R</t>
    </r>
    <r>
      <rPr>
        <vertAlign val="subscript"/>
        <sz val="8"/>
        <color indexed="8"/>
        <rFont val="Verdana"/>
        <family val="2"/>
      </rPr>
      <t>G1</t>
    </r>
    <r>
      <rPr>
        <sz val="8"/>
        <color indexed="8"/>
        <rFont val="Verdana"/>
        <family val="2"/>
      </rPr>
      <t>, R</t>
    </r>
    <r>
      <rPr>
        <vertAlign val="subscript"/>
        <sz val="8"/>
        <color indexed="8"/>
        <rFont val="Verdana"/>
        <family val="2"/>
      </rPr>
      <t>G2</t>
    </r>
  </si>
  <si>
    <r>
      <t>C</t>
    </r>
    <r>
      <rPr>
        <vertAlign val="subscript"/>
        <sz val="8"/>
        <color indexed="8"/>
        <rFont val="Verdana"/>
        <family val="2"/>
      </rPr>
      <t>VDD1</t>
    </r>
  </si>
  <si>
    <r>
      <t>C</t>
    </r>
    <r>
      <rPr>
        <vertAlign val="subscript"/>
        <sz val="8"/>
        <color indexed="8"/>
        <rFont val="Verdana"/>
        <family val="2"/>
      </rPr>
      <t>VDD2</t>
    </r>
  </si>
  <si>
    <r>
      <t>R</t>
    </r>
    <r>
      <rPr>
        <vertAlign val="subscript"/>
        <sz val="8"/>
        <color indexed="8"/>
        <rFont val="Verdana"/>
        <family val="2"/>
      </rPr>
      <t>CS1</t>
    </r>
    <r>
      <rPr>
        <sz val="8"/>
        <color indexed="8"/>
        <rFont val="Verdana"/>
        <family val="2"/>
      </rPr>
      <t>, R</t>
    </r>
    <r>
      <rPr>
        <vertAlign val="subscript"/>
        <sz val="8"/>
        <color indexed="8"/>
        <rFont val="Verdana"/>
        <family val="2"/>
      </rPr>
      <t>CS2</t>
    </r>
  </si>
  <si>
    <t>Feedback Pole Frequency</t>
  </si>
  <si>
    <t>Current Sense Resistor Power</t>
  </si>
  <si>
    <t>Feedback Power Dissipation</t>
  </si>
  <si>
    <r>
      <t>f</t>
    </r>
    <r>
      <rPr>
        <vertAlign val="subscript"/>
        <sz val="8"/>
        <rFont val="Verdana"/>
        <family val="2"/>
      </rPr>
      <t>HFP</t>
    </r>
  </si>
  <si>
    <r>
      <t>P</t>
    </r>
    <r>
      <rPr>
        <vertAlign val="subscript"/>
        <sz val="8"/>
        <rFont val="Verdana"/>
        <family val="2"/>
      </rPr>
      <t>FB</t>
    </r>
  </si>
  <si>
    <r>
      <t>P</t>
    </r>
    <r>
      <rPr>
        <vertAlign val="subscript"/>
        <sz val="8"/>
        <rFont val="Verdana"/>
        <family val="2"/>
      </rPr>
      <t>OVP</t>
    </r>
  </si>
  <si>
    <r>
      <t>V</t>
    </r>
    <r>
      <rPr>
        <vertAlign val="subscript"/>
        <sz val="8"/>
        <rFont val="Verdana"/>
        <family val="2"/>
      </rPr>
      <t>IN</t>
    </r>
    <r>
      <rPr>
        <sz val="8"/>
        <rFont val="Verdana"/>
        <family val="2"/>
      </rPr>
      <t xml:space="preserve"> Sense Power Dissipation</t>
    </r>
  </si>
  <si>
    <r>
      <t>P</t>
    </r>
    <r>
      <rPr>
        <vertAlign val="subscript"/>
        <sz val="8"/>
        <rFont val="Verdana"/>
        <family val="2"/>
      </rPr>
      <t>INSNS</t>
    </r>
  </si>
  <si>
    <t>OVP Network Power Dissipation</t>
  </si>
  <si>
    <t>Min. AC RMS Input (turn-off)</t>
  </si>
  <si>
    <t>www.fairchildsemi.com</t>
  </si>
  <si>
    <r>
      <t>P</t>
    </r>
    <r>
      <rPr>
        <vertAlign val="subscript"/>
        <sz val="8"/>
        <rFont val="Verdana"/>
        <family val="2"/>
      </rPr>
      <t xml:space="preserve">RCS1, </t>
    </r>
    <r>
      <rPr>
        <sz val="8"/>
        <rFont val="Verdana"/>
        <family val="2"/>
      </rPr>
      <t>P</t>
    </r>
    <r>
      <rPr>
        <vertAlign val="subscript"/>
        <sz val="8"/>
        <rFont val="Verdana"/>
        <family val="2"/>
      </rPr>
      <t>RCS2</t>
    </r>
  </si>
  <si>
    <t>Max. AC RMS Input</t>
  </si>
  <si>
    <r>
      <t>C</t>
    </r>
    <r>
      <rPr>
        <vertAlign val="subscript"/>
        <sz val="8"/>
        <color indexed="8"/>
        <rFont val="Verdana"/>
        <family val="2"/>
      </rPr>
      <t>INF</t>
    </r>
  </si>
  <si>
    <t>Input Voltage Sense Filter Capacitor</t>
  </si>
  <si>
    <r>
      <t>f</t>
    </r>
    <r>
      <rPr>
        <vertAlign val="subscript"/>
        <sz val="10"/>
        <rFont val="Verdana"/>
        <family val="2"/>
      </rPr>
      <t>c</t>
    </r>
  </si>
  <si>
    <t>Voltage Loop Crossover Frequency</t>
  </si>
  <si>
    <r>
      <t>K</t>
    </r>
    <r>
      <rPr>
        <vertAlign val="subscript"/>
        <sz val="8"/>
        <rFont val="Verdana"/>
        <family val="2"/>
      </rPr>
      <t>MAX</t>
    </r>
  </si>
  <si>
    <r>
      <t>V</t>
    </r>
    <r>
      <rPr>
        <vertAlign val="subscript"/>
        <sz val="8"/>
        <color indexed="8"/>
        <rFont val="Verdana"/>
        <family val="2"/>
      </rPr>
      <t>DDMAX</t>
    </r>
  </si>
  <si>
    <t>Revision</t>
  </si>
  <si>
    <t>Date</t>
  </si>
  <si>
    <t>Component</t>
  </si>
  <si>
    <r>
      <t>V</t>
    </r>
    <r>
      <rPr>
        <vertAlign val="subscript"/>
        <sz val="8"/>
        <rFont val="Verdana"/>
        <family val="2"/>
      </rPr>
      <t>OUT</t>
    </r>
  </si>
  <si>
    <r>
      <t>V</t>
    </r>
    <r>
      <rPr>
        <vertAlign val="subscript"/>
        <sz val="8"/>
        <rFont val="Verdana"/>
        <family val="2"/>
      </rPr>
      <t>OUTLATCH</t>
    </r>
  </si>
  <si>
    <r>
      <t>P</t>
    </r>
    <r>
      <rPr>
        <vertAlign val="subscript"/>
        <sz val="8"/>
        <rFont val="Verdana"/>
        <family val="2"/>
      </rPr>
      <t>OVNOM</t>
    </r>
  </si>
  <si>
    <r>
      <t>V</t>
    </r>
    <r>
      <rPr>
        <vertAlign val="subscript"/>
        <sz val="8"/>
        <rFont val="Verdana"/>
        <family val="2"/>
      </rPr>
      <t>LINEOFF</t>
    </r>
  </si>
  <si>
    <r>
      <t>V</t>
    </r>
    <r>
      <rPr>
        <vertAlign val="subscript"/>
        <sz val="8"/>
        <rFont val="Verdana"/>
        <family val="2"/>
      </rPr>
      <t>LINEON</t>
    </r>
  </si>
  <si>
    <r>
      <t>P</t>
    </r>
    <r>
      <rPr>
        <vertAlign val="subscript"/>
        <sz val="8"/>
        <rFont val="Verdana"/>
        <family val="2"/>
      </rPr>
      <t>INSNSMAXLINE</t>
    </r>
  </si>
  <si>
    <r>
      <t>t</t>
    </r>
    <r>
      <rPr>
        <vertAlign val="subscript"/>
        <sz val="8"/>
        <rFont val="Verdana"/>
        <family val="2"/>
      </rPr>
      <t>ONMAX</t>
    </r>
  </si>
  <si>
    <r>
      <t>P</t>
    </r>
    <r>
      <rPr>
        <vertAlign val="subscript"/>
        <sz val="8"/>
        <rFont val="Verdana"/>
        <family val="2"/>
      </rPr>
      <t>MAXCH</t>
    </r>
  </si>
  <si>
    <r>
      <t>f</t>
    </r>
    <r>
      <rPr>
        <vertAlign val="subscript"/>
        <sz val="8"/>
        <rFont val="Verdana"/>
        <family val="2"/>
      </rPr>
      <t>SWMIN</t>
    </r>
  </si>
  <si>
    <r>
      <t>I</t>
    </r>
    <r>
      <rPr>
        <vertAlign val="subscript"/>
        <sz val="8"/>
        <rFont val="Verdana"/>
        <family val="2"/>
      </rPr>
      <t>LPK</t>
    </r>
  </si>
  <si>
    <r>
      <t>I</t>
    </r>
    <r>
      <rPr>
        <vertAlign val="subscript"/>
        <sz val="8"/>
        <rFont val="Verdana"/>
        <family val="2"/>
      </rPr>
      <t>OPK</t>
    </r>
  </si>
  <si>
    <r>
      <t>V</t>
    </r>
    <r>
      <rPr>
        <vertAlign val="subscript"/>
        <sz val="8"/>
        <rFont val="Verdana"/>
        <family val="2"/>
      </rPr>
      <t>OUTRIPPLE</t>
    </r>
  </si>
  <si>
    <r>
      <t>t</t>
    </r>
    <r>
      <rPr>
        <vertAlign val="subscript"/>
        <sz val="8"/>
        <rFont val="Verdana"/>
        <family val="2"/>
      </rPr>
      <t>HOLD</t>
    </r>
  </si>
  <si>
    <r>
      <t>V</t>
    </r>
    <r>
      <rPr>
        <vertAlign val="subscript"/>
        <sz val="8"/>
        <rFont val="Verdana"/>
        <family val="2"/>
      </rPr>
      <t>OUTMIN</t>
    </r>
  </si>
  <si>
    <r>
      <t>f</t>
    </r>
    <r>
      <rPr>
        <vertAlign val="subscript"/>
        <sz val="8"/>
        <rFont val="Verdana"/>
        <family val="2"/>
      </rPr>
      <t>c</t>
    </r>
  </si>
  <si>
    <r>
      <t>I</t>
    </r>
    <r>
      <rPr>
        <vertAlign val="subscript"/>
        <sz val="8"/>
        <rFont val="Verdana"/>
        <family val="2"/>
      </rPr>
      <t>GD</t>
    </r>
  </si>
  <si>
    <r>
      <t>I</t>
    </r>
    <r>
      <rPr>
        <vertAlign val="subscript"/>
        <sz val="8"/>
        <rFont val="Verdana"/>
        <family val="2"/>
      </rPr>
      <t>ZCD</t>
    </r>
  </si>
  <si>
    <t>Selection</t>
  </si>
  <si>
    <t>Calculated</t>
  </si>
  <si>
    <t>Parameter</t>
  </si>
  <si>
    <t>Actual Value</t>
  </si>
  <si>
    <t>Input Value</t>
  </si>
  <si>
    <t>Cap Values (pF)</t>
  </si>
  <si>
    <t>Ideal R</t>
  </si>
  <si>
    <t>Low R</t>
  </si>
  <si>
    <t>High R</t>
  </si>
  <si>
    <t>1% Resistor Formula</t>
  </si>
  <si>
    <t>Selected Component Values:</t>
  </si>
  <si>
    <t>Note: 
Cells that have white text on a red background indicate that there is an error and the component value cannot be displayed.</t>
  </si>
  <si>
    <t>Power Supply Over design</t>
  </si>
  <si>
    <r>
      <t>Soft Start dV</t>
    </r>
    <r>
      <rPr>
        <vertAlign val="subscript"/>
        <sz val="8"/>
        <color indexed="8"/>
        <rFont val="Verdana"/>
        <family val="2"/>
      </rPr>
      <t>OUT</t>
    </r>
    <r>
      <rPr>
        <sz val="8"/>
        <color indexed="8"/>
        <rFont val="Verdana"/>
        <family val="2"/>
      </rPr>
      <t>/dt</t>
    </r>
  </si>
  <si>
    <r>
      <t>dV</t>
    </r>
    <r>
      <rPr>
        <vertAlign val="subscript"/>
        <sz val="8"/>
        <color indexed="8"/>
        <rFont val="Verdana"/>
        <family val="2"/>
      </rPr>
      <t>OUT</t>
    </r>
    <r>
      <rPr>
        <sz val="8"/>
        <color indexed="8"/>
        <rFont val="Verdana"/>
        <family val="2"/>
      </rPr>
      <t>/dt</t>
    </r>
  </si>
  <si>
    <t>1 - Select the feedback components</t>
  </si>
  <si>
    <t>2 - Select the latching output OVP components</t>
  </si>
  <si>
    <t>3 - Select the input sense components</t>
  </si>
  <si>
    <t>4 - Select the maximum on time resistor</t>
  </si>
  <si>
    <t>5 - Select the boost inductors</t>
  </si>
  <si>
    <t>6 - Select the current sense resistors</t>
  </si>
  <si>
    <t>7 - Select the output capacitance</t>
  </si>
  <si>
    <t>8 - Select the compensation network components</t>
  </si>
  <si>
    <t>9 - Select the soft start capacitor</t>
  </si>
  <si>
    <t>10 - Select the gate drive resistors</t>
  </si>
  <si>
    <t>11 - Select the zero current detect resistors</t>
  </si>
  <si>
    <r>
      <t>dV</t>
    </r>
    <r>
      <rPr>
        <vertAlign val="subscript"/>
        <sz val="8"/>
        <rFont val="Verdana"/>
        <family val="2"/>
      </rPr>
      <t>OUT</t>
    </r>
    <r>
      <rPr>
        <sz val="8"/>
        <rFont val="Verdana"/>
        <family val="2"/>
      </rPr>
      <t>/dt</t>
    </r>
  </si>
  <si>
    <t>Step 1: Enter power supply parameters and calculate ideal component values.</t>
  </si>
  <si>
    <t>DISCLAIMER:</t>
  </si>
  <si>
    <t>FAIRCHILD SEMICONDUCTOR RESERVES THE RIGHT TO MAKE CHANGES WITHOUT FURTHER NOTICE TO ANY PRODUCTS HEREIN TO IMPROVE RELIABILITY, FUNCTION, OR DESIGN.  FAIRCHILD DOES NOT ASSUME ANY LIABILITY ARISING OUT OF THE APPLICATION OR USE OF ANY PRODUCT, CIRCUIT OR TOOL DESCRIBED HEREIN; NEITHER DOES IT CONVEY ANY LICENSE UNDER ITS PATENT RIGHTS, NOR THE RIGHTS OF OTHERS.</t>
  </si>
  <si>
    <t>Step 2: Select real component values based on the ideal component values calculated in Step 1 and verify the real power supply performance specifications.</t>
  </si>
  <si>
    <t xml:space="preserve">This sheet provides a schematic and an overview of the components selected through Steps 1 and 2.  
Ensure that both steps have been completed properly before using the component values displayed below.  </t>
  </si>
  <si>
    <t>Other Variables Used During the Calculations:</t>
  </si>
  <si>
    <r>
      <t>f</t>
    </r>
    <r>
      <rPr>
        <vertAlign val="subscript"/>
        <sz val="8"/>
        <rFont val="Verdana"/>
        <family val="2"/>
      </rPr>
      <t>cINF</t>
    </r>
  </si>
  <si>
    <t xml:space="preserve">Note: 
Cells that have white text on a red background indicate that there is an error.  Certain parts of the circuit will not operate properly if these items are not addressed.  Cells with red text indicate that the parameter values calculated differ greatly from the desired value.  </t>
  </si>
  <si>
    <r>
      <t>This sheet calculates the ideal component values based on the power supply specifications that are entered.
■ Enter the specifications in the '</t>
    </r>
    <r>
      <rPr>
        <b/>
        <sz val="8"/>
        <rFont val="Verdana"/>
        <family val="2"/>
      </rPr>
      <t>From Power Supply Specification</t>
    </r>
    <r>
      <rPr>
        <sz val="8"/>
        <rFont val="Verdana"/>
        <family val="2"/>
      </rPr>
      <t>' section.  
■ The '</t>
    </r>
    <r>
      <rPr>
        <b/>
        <sz val="8"/>
        <rFont val="Verdana"/>
        <family val="2"/>
      </rPr>
      <t>Pre-calculated Power Stage Parameters</t>
    </r>
    <r>
      <rPr>
        <sz val="8"/>
        <rFont val="Verdana"/>
        <family val="2"/>
      </rPr>
      <t>' section allows the user to adjust the estimated conversion efficiency and the turns ratio of the boost inductor to auxiliary winding.  This section also displays the power stage components and parameters that result from the specification, and will be used to calculate the remaining component values.  
■ The '</t>
    </r>
    <r>
      <rPr>
        <b/>
        <sz val="8"/>
        <rFont val="Verdana"/>
        <family val="2"/>
      </rPr>
      <t>Calculated Component Values</t>
    </r>
    <r>
      <rPr>
        <sz val="8"/>
        <rFont val="Verdana"/>
        <family val="2"/>
      </rPr>
      <t>' section displays the remaining ideal component values that result from the entered power supply specification.  These values will be used as a guide in selecting the real component values.</t>
    </r>
  </si>
  <si>
    <r>
      <t>This sheet calculates the actual parameter values that result from the selected components.  Ensure that all parameters were entered properly in the Step 1 worksheet before working on this step. 
■ Enter the component values into the column named '</t>
    </r>
    <r>
      <rPr>
        <b/>
        <sz val="8"/>
        <rFont val="Verdana"/>
        <family val="2"/>
      </rPr>
      <t>Selection</t>
    </r>
    <r>
      <rPr>
        <sz val="8"/>
        <rFont val="Verdana"/>
        <family val="2"/>
      </rPr>
      <t>'.  
■ Calculated component values from the parameters entered in Step 1 and Step 2 appear in the '</t>
    </r>
    <r>
      <rPr>
        <b/>
        <sz val="8"/>
        <rFont val="Verdana"/>
        <family val="2"/>
      </rPr>
      <t>Calculated</t>
    </r>
    <r>
      <rPr>
        <sz val="8"/>
        <rFont val="Verdana"/>
        <family val="2"/>
      </rPr>
      <t>' column.  
These values provide a recommended component value to obtain the input parameters desired.  
■ The '</t>
    </r>
    <r>
      <rPr>
        <b/>
        <sz val="8"/>
        <rFont val="Verdana"/>
        <family val="2"/>
      </rPr>
      <t>Actual Value</t>
    </r>
    <r>
      <rPr>
        <sz val="8"/>
        <rFont val="Verdana"/>
        <family val="2"/>
      </rPr>
      <t>' column provides the parameter values that result from the components selected in the 'Selection' column. 
■ For reference and comparison, the '</t>
    </r>
    <r>
      <rPr>
        <b/>
        <sz val="8"/>
        <rFont val="Verdana"/>
        <family val="2"/>
      </rPr>
      <t>Input Value</t>
    </r>
    <r>
      <rPr>
        <sz val="8"/>
        <rFont val="Verdana"/>
        <family val="2"/>
      </rPr>
      <t>' column displays the parameters that were selected in the Step 1 worksheet.</t>
    </r>
  </si>
  <si>
    <t>Final Step: Review the final component values.</t>
  </si>
  <si>
    <t>Note: No macros or code was used in the Design Tool in an effort to provide simple, efficient and safe tools.</t>
  </si>
  <si>
    <t>L1, L2</t>
  </si>
  <si>
    <t>Output Capacitance (total)</t>
  </si>
  <si>
    <t>Boost Inductance (per channel)</t>
  </si>
  <si>
    <r>
      <t>V</t>
    </r>
    <r>
      <rPr>
        <vertAlign val="subscript"/>
        <sz val="8"/>
        <color indexed="8"/>
        <rFont val="Verdana"/>
        <family val="2"/>
      </rPr>
      <t>LINE.Norminal</t>
    </r>
  </si>
  <si>
    <t>Nominal AC RMS Input</t>
  </si>
  <si>
    <t xml:space="preserve"> </t>
  </si>
  <si>
    <r>
      <t>P</t>
    </r>
    <r>
      <rPr>
        <vertAlign val="subscript"/>
        <sz val="8"/>
        <color indexed="8"/>
        <rFont val="Verdana"/>
        <family val="2"/>
      </rPr>
      <t>OUT,CH</t>
    </r>
  </si>
  <si>
    <t>Output Power per Channel</t>
  </si>
  <si>
    <t>Line OVP Voltage</t>
  </si>
  <si>
    <r>
      <t>V</t>
    </r>
    <r>
      <rPr>
        <sz val="5"/>
        <rFont val="Verdana"/>
        <family val="2"/>
      </rPr>
      <t>LINE,OVP</t>
    </r>
  </si>
  <si>
    <r>
      <t>V</t>
    </r>
    <r>
      <rPr>
        <sz val="6"/>
        <rFont val="Verdana"/>
        <family val="2"/>
      </rPr>
      <t>line,Hyst</t>
    </r>
  </si>
  <si>
    <t>Pre-Calculated Parameters:</t>
  </si>
  <si>
    <t>Min. Allowable Brown-Out Hysteresis</t>
  </si>
  <si>
    <t>Note: 
Cells that have white text on a red background indicate that there is an error.  Certain parts of the circuit will not operate properly if these items are not addressed.</t>
  </si>
  <si>
    <t>This sheet provides colsed-loop gain Bode Plot based on components being calculated in step 1 and 2.</t>
  </si>
  <si>
    <t>f (Hz)</t>
  </si>
  <si>
    <t>s (rad/sec)</t>
  </si>
  <si>
    <t>fp</t>
  </si>
  <si>
    <t>F2(s)</t>
  </si>
  <si>
    <t>Fv(s)</t>
  </si>
  <si>
    <t>T2(s)</t>
  </si>
  <si>
    <t>Hz</t>
  </si>
  <si>
    <t>Fcz</t>
  </si>
  <si>
    <t>fcp</t>
  </si>
  <si>
    <t>F2_Num</t>
  </si>
  <si>
    <t>F2_Dem</t>
  </si>
  <si>
    <t>f1a</t>
  </si>
  <si>
    <t>Fv_Co</t>
  </si>
  <si>
    <t>Fv_fcp</t>
  </si>
  <si>
    <t>Fv_fcz</t>
  </si>
  <si>
    <t>IT2(s)I (dB)</t>
  </si>
  <si>
    <t>P(T2(s)) (deg)</t>
  </si>
  <si>
    <t>Final Step: Review the loop transmission Bode Plot.</t>
  </si>
  <si>
    <t>BW Filter</t>
  </si>
  <si>
    <t>Phase Filter</t>
  </si>
  <si>
    <t>Min_GL</t>
  </si>
  <si>
    <t>ABSIT2(s)I (dB)</t>
  </si>
  <si>
    <t>deg</t>
  </si>
  <si>
    <t>BW</t>
  </si>
  <si>
    <t>PM</t>
  </si>
  <si>
    <t xml:space="preserve">Note: 
This spreadsheet uses complex number, so Analysis ToolPak installation is required. </t>
  </si>
  <si>
    <t>Crossover Frequency</t>
  </si>
  <si>
    <t>Phase Margin</t>
  </si>
  <si>
    <t xml:space="preserve"> Hz</t>
  </si>
  <si>
    <t xml:space="preserve"> deg</t>
  </si>
  <si>
    <t xml:space="preserve"> A</t>
  </si>
  <si>
    <t>Project</t>
  </si>
  <si>
    <t>Designer</t>
  </si>
  <si>
    <t>DC Output Current</t>
  </si>
  <si>
    <t>Io_dcp</t>
  </si>
  <si>
    <t>A</t>
  </si>
  <si>
    <t>For Designer Use Only</t>
  </si>
  <si>
    <t>Full Load Output Power</t>
  </si>
  <si>
    <t>© 2010 Fairchild Semiconductor Corporation.  All rights reserved.</t>
  </si>
  <si>
    <t>FCS ©</t>
  </si>
  <si>
    <t>Efficiency of magnetic component (&lt;1)</t>
  </si>
  <si>
    <t>eff_m</t>
  </si>
  <si>
    <t>Max AC flux swing (Gauss)</t>
  </si>
  <si>
    <t>dB</t>
  </si>
  <si>
    <t>WF</t>
  </si>
  <si>
    <t>Window utilization factor</t>
  </si>
  <si>
    <t>CD</t>
  </si>
  <si>
    <t>Current density (circular mil/amp)</t>
  </si>
  <si>
    <t>UF</t>
  </si>
  <si>
    <t>Magnetization</t>
  </si>
  <si>
    <t>Cooling factor</t>
  </si>
  <si>
    <t>FK</t>
  </si>
  <si>
    <t>Total PFC Output Power</t>
  </si>
  <si>
    <t>Po</t>
  </si>
  <si>
    <t>Per Phase Output Power</t>
  </si>
  <si>
    <t>Po_ch</t>
  </si>
  <si>
    <t>Estimated efficiency of boost converter</t>
  </si>
  <si>
    <t>eff_pfc</t>
  </si>
  <si>
    <t>PFC regulated output voltage</t>
  </si>
  <si>
    <t>Vout_pfc</t>
  </si>
  <si>
    <t>AC input voltage where min operating frequency occurs</t>
  </si>
  <si>
    <t>V_Line_minf</t>
  </si>
  <si>
    <t>Minimum AC input voltage</t>
  </si>
  <si>
    <t>V_Line_min</t>
  </si>
  <si>
    <t>Minimum desired operating frequency</t>
  </si>
  <si>
    <t>Fs_min</t>
  </si>
  <si>
    <t>zcd voltage</t>
  </si>
  <si>
    <t>V_zcd</t>
  </si>
  <si>
    <t>unit</t>
  </si>
  <si>
    <t>Units and Constants Definition</t>
  </si>
  <si>
    <t>uo</t>
  </si>
  <si>
    <t>nH</t>
  </si>
  <si>
    <t xml:space="preserve">      Design Parameters:</t>
  </si>
  <si>
    <t>AeAb</t>
  </si>
  <si>
    <t>Area Product method for estimating required core size (cm2*cm2)</t>
  </si>
  <si>
    <t>EDFD30</t>
  </si>
  <si>
    <t>Area Product of selected core (cm2*cm2)</t>
  </si>
  <si>
    <t>Enter cross section for chosen core</t>
  </si>
  <si>
    <t>Ae_core</t>
  </si>
  <si>
    <t>MLT</t>
  </si>
  <si>
    <t>Minimum winding width</t>
  </si>
  <si>
    <t>WW</t>
  </si>
  <si>
    <t>Winding area</t>
  </si>
  <si>
    <t>WA</t>
  </si>
  <si>
    <t xml:space="preserve">      Core and Inductor Calculation:</t>
  </si>
  <si>
    <t>IL_pk</t>
  </si>
  <si>
    <t>Peak inductor current</t>
  </si>
  <si>
    <t>Required PFC inductor value</t>
  </si>
  <si>
    <t>L_pfc</t>
  </si>
  <si>
    <t>Number of required inductor turns</t>
  </si>
  <si>
    <t>A_L</t>
  </si>
  <si>
    <t>N_boost</t>
  </si>
  <si>
    <t>Required inductance factor</t>
  </si>
  <si>
    <t>Estimated required air gap length</t>
  </si>
  <si>
    <t>I_gap</t>
  </si>
  <si>
    <t>Approx. max frequency for BCM PFC</t>
  </si>
  <si>
    <t>Fs_max</t>
  </si>
  <si>
    <t xml:space="preserve">      Wire Calculations:</t>
  </si>
  <si>
    <t>Maximum per channel RMS inductor current</t>
  </si>
  <si>
    <t>I_in</t>
  </si>
  <si>
    <t>Required circular mils based on input current density</t>
  </si>
  <si>
    <t>CM</t>
  </si>
  <si>
    <t xml:space="preserve">      AWG Table</t>
  </si>
  <si>
    <t>Skin depth</t>
  </si>
  <si>
    <t>dn</t>
  </si>
  <si>
    <t>Need AWG with diameter less than this full AC penetration</t>
  </si>
  <si>
    <t>AWG_f</t>
  </si>
  <si>
    <t>ZCD winding calculation</t>
  </si>
  <si>
    <t>Mean length per turn</t>
  </si>
  <si>
    <t>ZCD turns calculaiton</t>
  </si>
  <si>
    <t>N_zcd</t>
  </si>
  <si>
    <t>Nzcd</t>
  </si>
  <si>
    <t>Res_litz</t>
  </si>
  <si>
    <r>
      <t>Data taken from MWS Industries litz wire tables for 30x#38 litz (</t>
    </r>
    <r>
      <rPr>
        <sz val="8"/>
        <color indexed="8"/>
        <rFont val="Calibri"/>
        <family val="2"/>
      </rPr>
      <t>Ω</t>
    </r>
    <r>
      <rPr>
        <sz val="8"/>
        <color indexed="8"/>
        <rFont val="Verdana"/>
        <family val="2"/>
      </rPr>
      <t>/m)</t>
    </r>
  </si>
  <si>
    <t>Enter mean outer diameter of chosen litz bundle</t>
  </si>
  <si>
    <t>litz_mean_OD</t>
  </si>
  <si>
    <t>litz_OD_wound</t>
  </si>
  <si>
    <t>Estimated turns per layer</t>
  </si>
  <si>
    <t>Turns_layer</t>
  </si>
  <si>
    <t>Estimated number of layers</t>
  </si>
  <si>
    <t>N_cu_layers</t>
  </si>
  <si>
    <t>Enter tape thickness</t>
  </si>
  <si>
    <t>tape_thick</t>
  </si>
  <si>
    <t>N_tape_layers</t>
  </si>
  <si>
    <t>Cu_Area</t>
  </si>
  <si>
    <t>Total bobbin area taken by copper</t>
  </si>
  <si>
    <t>Total bobbin area taken by insulating tape</t>
  </si>
  <si>
    <t>tape_Area</t>
  </si>
  <si>
    <t>Bobbin_Area</t>
  </si>
  <si>
    <t>Bobbin area</t>
  </si>
  <si>
    <t xml:space="preserve">      Winding Structure Calculations:</t>
  </si>
  <si>
    <t xml:space="preserve">      DC Copper Loss Calculations:</t>
  </si>
  <si>
    <t>Rdc</t>
  </si>
  <si>
    <t>Power loss (per inductor) due to DC resistance</t>
  </si>
  <si>
    <t>P_Rdc</t>
  </si>
  <si>
    <t>Copper DC resistance</t>
  </si>
  <si>
    <t xml:space="preserve">            FAN9611_12 Boost Converter Design Tool</t>
  </si>
  <si>
    <t xml:space="preserve">          FAN9611_12 Boost Converter (Ideal Values)</t>
  </si>
  <si>
    <t xml:space="preserve">             FAN9611_12 Boost Converter (Actual Values)</t>
  </si>
  <si>
    <t xml:space="preserve">              FAN9611_12 Boost Converter (Final Components)</t>
  </si>
  <si>
    <t xml:space="preserve">      FAN9611_12 Boost Converter</t>
  </si>
  <si>
    <t xml:space="preserve">           FAN9611_12 Boost Converter Inductor Design</t>
  </si>
  <si>
    <t xml:space="preserve">              FAN9611_12 Loop Gain Bode Plot</t>
  </si>
  <si>
    <t>The following worksheet shows an interleaved Boost BCM PFC inductor design. The design rules shown are fundamental to the interleaved BCM PFC Boost topology and can therefore easily be applied to higher power levels. This worksheet is intended to accompany the Fairchild FAN9611_12 Excel Design Tool.</t>
  </si>
  <si>
    <r>
      <t xml:space="preserve">This design tool is used for a PFC pre-regulated boost converter design using the FAN9611_12 Interleaved Dual BCM PFC Controller. It complements the Quick Setup Guide procedure in the FAN9611_12 datasheet and the design procedure described in AN-8086 the application note for FAN9611_12. This tool is meant to be used with both documents.
The FAN9611_12 Design Tool consists of three steps. Each step is contained in a separate worksheet that can be accessed from the tabs at the bottom.  
</t>
    </r>
    <r>
      <rPr>
        <b/>
        <sz val="8"/>
        <rFont val="Verdana"/>
        <family val="2"/>
      </rPr>
      <t>Step 1:</t>
    </r>
    <r>
      <rPr>
        <sz val="8"/>
        <rFont val="Verdana"/>
        <family val="2"/>
      </rPr>
      <t xml:space="preserve"> Enter their desired power supply performance specifications.  The worksheet then calculates the ideal component values based on the input specifications.  
</t>
    </r>
    <r>
      <rPr>
        <b/>
        <sz val="8"/>
        <rFont val="Verdana"/>
        <family val="2"/>
      </rPr>
      <t>Step 2:</t>
    </r>
    <r>
      <rPr>
        <sz val="8"/>
        <rFont val="Verdana"/>
        <family val="2"/>
      </rPr>
      <t xml:space="preserve"> Select real component values based on the ideal component values calculated in Step 1. The worksheet then calculates the real power supply performance specifications. 
</t>
    </r>
    <r>
      <rPr>
        <b/>
        <sz val="8"/>
        <rFont val="Verdana"/>
        <family val="2"/>
      </rPr>
      <t>Final Step:</t>
    </r>
    <r>
      <rPr>
        <sz val="8"/>
        <rFont val="Verdana"/>
        <family val="2"/>
      </rPr>
      <t xml:space="preserve"> The third and final step provides an overview of the schematic and components selected. A loop gain Bode Plot is shown as well to conclude the design.</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</si>
</sst>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m\s"/>
    <numFmt numFmtId="165" formatCode="0\ \W"/>
    <numFmt numFmtId="166" formatCode="0\ \Ω"/>
    <numFmt numFmtId="167" formatCode="0.000\ \µ\F"/>
    <numFmt numFmtId="168" formatCode="0.0\ \µ\F"/>
    <numFmt numFmtId="169" formatCode="0\ \µ\F"/>
    <numFmt numFmtId="170" formatCode="0.000\ \Ω"/>
    <numFmt numFmtId="171" formatCode="0.0000\ \Ω"/>
    <numFmt numFmtId="172" formatCode="0.000\ \W"/>
    <numFmt numFmtId="173" formatCode="0.00\ \Ω"/>
    <numFmt numFmtId="174" formatCode="0.000\ \µ\H"/>
    <numFmt numFmtId="175" formatCode="0\ \n\F"/>
    <numFmt numFmtId="176" formatCode="0\ \V"/>
    <numFmt numFmtId="177" formatCode="0.000\ \µ\s"/>
    <numFmt numFmtId="178" formatCode="0\ \µ\H"/>
    <numFmt numFmtId="179" formatCode="0.000\ \A"/>
    <numFmt numFmtId="180" formatCode="0.000"/>
    <numFmt numFmtId="181" formatCode="0\ \H\z"/>
    <numFmt numFmtId="182" formatCode="0.00\ \m\s"/>
    <numFmt numFmtId="183" formatCode="0.0\ \n\F"/>
    <numFmt numFmtId="184" formatCode="0.00\ \V"/>
    <numFmt numFmtId="185" formatCode="0.0\ \H\z"/>
    <numFmt numFmtId="186" formatCode="mm/dd/yyyy"/>
    <numFmt numFmtId="187" formatCode="0.000\ \V"/>
    <numFmt numFmtId="188" formatCode="0.000\ \m\A"/>
    <numFmt numFmtId="189" formatCode="0.0\ \V"/>
    <numFmt numFmtId="190" formatCode="0.00\ \A"/>
    <numFmt numFmtId="191" formatCode="0.0\ \k\Ω"/>
    <numFmt numFmtId="192" formatCode="0\ \k\Ω"/>
    <numFmt numFmtId="193" formatCode="0.000\ \V/\m\s"/>
    <numFmt numFmtId="194" formatCode="0\ \k\H\z"/>
    <numFmt numFmtId="195" formatCode="0.0\ \k\H\z"/>
    <numFmt numFmtId="196" formatCode="0.00\ \k\Ω"/>
    <numFmt numFmtId="197" formatCode="0.0"/>
    <numFmt numFmtId="198" formatCode="0.0\ \d"/>
    <numFmt numFmtId="199" formatCode="[$-409]mmmm\ d\,\ yyyy;@"/>
    <numFmt numFmtId="200" formatCode="0\ \G"/>
    <numFmt numFmtId="201" formatCode="0.0E+00"/>
    <numFmt numFmtId="202" formatCode="0.0\ \m\m"/>
    <numFmt numFmtId="203" formatCode="0.0\ \m\m\2"/>
    <numFmt numFmtId="204" formatCode="0.000\ \c\m\4"/>
    <numFmt numFmtId="205" formatCode="0.0000\ \µ\H"/>
    <numFmt numFmtId="206" formatCode="0.000\ \m\m"/>
    <numFmt numFmtId="207" formatCode="0.00\ \m\m"/>
    <numFmt numFmtId="208" formatCode="0.0000\ \Ω\m"/>
    <numFmt numFmtId="209" formatCode="0.00000\ \Ω\m"/>
    <numFmt numFmtId="210" formatCode="0.000E+00"/>
    <numFmt numFmtId="211" formatCode="0.0000E+00"/>
    <numFmt numFmtId="212" formatCode="0.0000\ \m\m"/>
    <numFmt numFmtId="213" formatCode="0.000\ \m\m\2"/>
    <numFmt numFmtId="214" formatCode="0.00\ \m\m\2"/>
  </numFmts>
  <fonts count="71">
    <font>
      <sz val="10"/>
      <name val="Arial"/>
      <family val="0"/>
    </font>
    <font>
      <sz val="8"/>
      <name val="Arial"/>
      <family val="0"/>
    </font>
    <font>
      <sz val="8"/>
      <name val="Verdana"/>
      <family val="2"/>
    </font>
    <font>
      <sz val="8"/>
      <color indexed="8"/>
      <name val="Verdana"/>
      <family val="2"/>
    </font>
    <font>
      <vertAlign val="subscript"/>
      <sz val="8"/>
      <color indexed="8"/>
      <name val="Verdana"/>
      <family val="2"/>
    </font>
    <font>
      <b/>
      <sz val="8"/>
      <name val="Verdana"/>
      <family val="2"/>
    </font>
    <font>
      <vertAlign val="subscript"/>
      <sz val="8"/>
      <name val="Verdana"/>
      <family val="2"/>
    </font>
    <font>
      <sz val="10"/>
      <name val="Verdana"/>
      <family val="2"/>
    </font>
    <font>
      <b/>
      <sz val="8"/>
      <color indexed="8"/>
      <name val="Verdana"/>
      <family val="2"/>
    </font>
    <font>
      <vertAlign val="subscript"/>
      <sz val="10"/>
      <name val="Verdana"/>
      <family val="2"/>
    </font>
    <font>
      <sz val="8"/>
      <name val="Tahoma"/>
      <family val="0"/>
    </font>
    <font>
      <b/>
      <sz val="8"/>
      <name val="Tahoma"/>
      <family val="0"/>
    </font>
    <font>
      <b/>
      <sz val="8"/>
      <color indexed="9"/>
      <name val="Verdana"/>
      <family val="2"/>
    </font>
    <font>
      <vertAlign val="subscript"/>
      <sz val="8"/>
      <name val="Tahoma"/>
      <family val="2"/>
    </font>
    <font>
      <b/>
      <sz val="16"/>
      <name val="Verdana"/>
      <family val="2"/>
    </font>
    <font>
      <sz val="7"/>
      <name val="Verdana"/>
      <family val="2"/>
    </font>
    <font>
      <sz val="8"/>
      <color indexed="9"/>
      <name val="Verdana"/>
      <family val="2"/>
    </font>
    <font>
      <u val="single"/>
      <sz val="10"/>
      <color indexed="12"/>
      <name val="Arial"/>
      <family val="0"/>
    </font>
    <font>
      <b/>
      <sz val="9"/>
      <color indexed="9"/>
      <name val="Verdana"/>
      <family val="2"/>
    </font>
    <font>
      <u val="single"/>
      <sz val="10"/>
      <color indexed="36"/>
      <name val="Arial"/>
      <family val="0"/>
    </font>
    <font>
      <sz val="5"/>
      <name val="Verdana"/>
      <family val="2"/>
    </font>
    <font>
      <sz val="6"/>
      <name val="Verdana"/>
      <family val="2"/>
    </font>
    <font>
      <b/>
      <sz val="10"/>
      <name val="Arial"/>
      <family val="2"/>
    </font>
    <font>
      <sz val="8"/>
      <color indexed="8"/>
      <name val="Symbol"/>
      <family val="1"/>
    </font>
    <font>
      <sz val="8"/>
      <color indexed="8"/>
      <name val="Calibri"/>
      <family val="2"/>
    </font>
    <font>
      <sz val="7"/>
      <color indexed="8"/>
      <name val="Verdana"/>
      <family val="2"/>
    </font>
    <font>
      <b/>
      <sz val="1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25"/>
      <color indexed="8"/>
      <name val="Arial"/>
      <family val="2"/>
    </font>
    <font>
      <sz val="8.5"/>
      <color indexed="8"/>
      <name val="Arial"/>
      <family val="2"/>
    </font>
    <font>
      <b/>
      <sz val="8.5"/>
      <color indexed="8"/>
      <name val="Arial"/>
      <family val="2"/>
    </font>
    <font>
      <b/>
      <sz val="9.5"/>
      <color indexed="8"/>
      <name val="Arial"/>
      <family val="2"/>
    </font>
    <font>
      <sz val="9.5"/>
      <color indexed="8"/>
      <name val="Arial"/>
      <family val="2"/>
    </font>
    <font>
      <sz val="10"/>
      <color indexed="8"/>
      <name val="Arial"/>
      <family val="2"/>
    </font>
    <font>
      <b/>
      <sz val="10"/>
      <color indexed="8"/>
      <name val="Arial"/>
      <family val="2"/>
    </font>
    <font>
      <b/>
      <sz val="11"/>
      <color indexed="8"/>
      <name val="Arial"/>
      <family val="2"/>
    </font>
    <font>
      <sz val="8.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41"/>
        <bgColor indexed="64"/>
      </patternFill>
    </fill>
    <fill>
      <patternFill patternType="solid">
        <fgColor indexed="58"/>
        <bgColor indexed="64"/>
      </patternFill>
    </fill>
    <fill>
      <patternFill patternType="solid">
        <fgColor rgb="FF99CCFF"/>
        <bgColor indexed="64"/>
      </patternFill>
    </fill>
    <fill>
      <patternFill patternType="solid">
        <fgColor rgb="FFFFFF99"/>
        <bgColor indexed="64"/>
      </patternFill>
    </fill>
    <fill>
      <patternFill patternType="solid">
        <fgColor indexed="1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style="thin">
        <color indexed="58"/>
      </left>
      <right style="thin">
        <color indexed="58"/>
      </right>
      <top style="thin">
        <color indexed="58"/>
      </top>
      <bottom style="thin">
        <color indexed="58"/>
      </bottom>
    </border>
    <border>
      <left style="thin">
        <color indexed="52"/>
      </left>
      <right style="thin">
        <color indexed="52"/>
      </right>
      <top style="thin">
        <color indexed="52"/>
      </top>
      <bottom style="thin">
        <color indexed="52"/>
      </bottom>
    </border>
    <border>
      <left style="thin">
        <color indexed="58"/>
      </left>
      <right style="thin">
        <color indexed="58"/>
      </right>
      <top style="thick">
        <color indexed="8"/>
      </top>
      <bottom style="thin">
        <color indexed="58"/>
      </bottom>
    </border>
    <border>
      <left style="thin">
        <color indexed="58"/>
      </left>
      <right style="thin">
        <color indexed="58"/>
      </right>
      <top>
        <color indexed="63"/>
      </top>
      <bottom style="thin">
        <color indexed="58"/>
      </bottom>
    </border>
    <border>
      <left style="thin">
        <color indexed="52"/>
      </left>
      <right style="thin">
        <color indexed="52"/>
      </right>
      <top>
        <color indexed="63"/>
      </top>
      <bottom style="thin">
        <color indexed="52"/>
      </bottom>
    </border>
    <border>
      <left style="thin">
        <color indexed="18"/>
      </left>
      <right style="thin">
        <color indexed="18"/>
      </right>
      <top>
        <color indexed="63"/>
      </top>
      <bottom style="thin">
        <color indexed="18"/>
      </bottom>
    </border>
    <border>
      <left style="thin">
        <color indexed="58"/>
      </left>
      <right>
        <color indexed="63"/>
      </right>
      <top style="thick">
        <color indexed="8"/>
      </top>
      <bottom style="thin">
        <color indexed="58"/>
      </bottom>
    </border>
    <border>
      <left style="thin">
        <color indexed="58"/>
      </left>
      <right style="thin">
        <color indexed="58"/>
      </right>
      <top style="thin">
        <color indexed="58"/>
      </top>
      <bottom style="thick">
        <color indexed="8"/>
      </bottom>
    </border>
    <border>
      <left style="thin"/>
      <right style="thin"/>
      <top style="thin"/>
      <bottom style="thin"/>
    </border>
    <border>
      <left style="thin">
        <color indexed="53"/>
      </left>
      <right style="thin">
        <color indexed="53"/>
      </right>
      <top style="thin">
        <color indexed="53"/>
      </top>
      <bottom style="thin">
        <color indexed="53"/>
      </bottom>
    </border>
    <border>
      <left>
        <color indexed="63"/>
      </left>
      <right>
        <color indexed="63"/>
      </right>
      <top style="thin"/>
      <bottom>
        <color indexed="63"/>
      </bottom>
    </border>
    <border>
      <left style="thin">
        <color indexed="55"/>
      </left>
      <right>
        <color indexed="63"/>
      </right>
      <top style="thick">
        <color indexed="8"/>
      </top>
      <bottom style="thick">
        <color indexed="8"/>
      </bottom>
    </border>
    <border>
      <left>
        <color indexed="63"/>
      </left>
      <right>
        <color indexed="63"/>
      </right>
      <top style="thick">
        <color indexed="8"/>
      </top>
      <bottom style="thick">
        <color indexed="8"/>
      </bottom>
    </border>
    <border>
      <left style="thin">
        <color indexed="58"/>
      </left>
      <right style="thin">
        <color indexed="58"/>
      </right>
      <top style="thick">
        <color indexed="8"/>
      </top>
      <bottom style="thick">
        <color indexed="8"/>
      </bottom>
    </border>
    <border>
      <left>
        <color indexed="63"/>
      </left>
      <right>
        <color indexed="63"/>
      </right>
      <top>
        <color indexed="63"/>
      </top>
      <bottom style="thin"/>
    </border>
    <border>
      <left style="thin">
        <color indexed="58"/>
      </left>
      <right style="thin">
        <color indexed="58"/>
      </right>
      <top>
        <color indexed="63"/>
      </top>
      <bottom style="thick">
        <color indexed="8"/>
      </bottom>
    </border>
    <border>
      <left>
        <color indexed="63"/>
      </left>
      <right>
        <color indexed="63"/>
      </right>
      <top style="thin">
        <color indexed="52"/>
      </top>
      <bottom>
        <color indexed="63"/>
      </bottom>
    </border>
    <border>
      <left>
        <color indexed="63"/>
      </left>
      <right style="thin">
        <color indexed="53"/>
      </right>
      <top style="thin">
        <color indexed="53"/>
      </top>
      <bottom style="thin">
        <color indexed="53"/>
      </bottom>
    </border>
    <border>
      <left style="thin">
        <color indexed="53"/>
      </left>
      <right>
        <color indexed="63"/>
      </right>
      <top style="thin">
        <color indexed="53"/>
      </top>
      <bottom style="thin">
        <color indexed="53"/>
      </bottom>
    </border>
    <border>
      <left>
        <color indexed="63"/>
      </left>
      <right style="thin">
        <color indexed="18"/>
      </right>
      <top style="thin">
        <color indexed="18"/>
      </top>
      <bottom style="thin">
        <color indexed="18"/>
      </bottom>
    </border>
    <border>
      <left style="thin">
        <color indexed="55"/>
      </left>
      <right>
        <color indexed="63"/>
      </right>
      <top>
        <color indexed="63"/>
      </top>
      <bottom style="thick">
        <color indexed="8"/>
      </bottom>
    </border>
    <border>
      <left>
        <color indexed="63"/>
      </left>
      <right>
        <color indexed="63"/>
      </right>
      <top>
        <color indexed="63"/>
      </top>
      <bottom style="thick">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18"/>
      </left>
      <right style="thin">
        <color indexed="18"/>
      </right>
      <top style="thick">
        <color indexed="8"/>
      </top>
      <bottom style="thick">
        <color indexed="8"/>
      </bottom>
    </border>
    <border>
      <left>
        <color indexed="63"/>
      </left>
      <right>
        <color indexed="63"/>
      </right>
      <top>
        <color indexed="63"/>
      </top>
      <bottom style="thin">
        <color indexed="55"/>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8"/>
      </left>
      <right>
        <color indexed="63"/>
      </right>
      <top style="thin">
        <color indexed="18"/>
      </top>
      <bottom style="thin">
        <color indexed="18"/>
      </bottom>
    </border>
    <border>
      <left style="thin">
        <color indexed="18"/>
      </left>
      <right>
        <color indexed="63"/>
      </right>
      <top style="thick">
        <color indexed="8"/>
      </top>
      <bottom style="thick">
        <color indexed="8"/>
      </bottom>
    </border>
    <border>
      <left>
        <color indexed="63"/>
      </left>
      <right style="thin">
        <color indexed="18"/>
      </right>
      <top style="thick">
        <color indexed="8"/>
      </top>
      <bottom style="thick">
        <color indexed="8"/>
      </bottom>
    </border>
    <border>
      <left style="thin">
        <color indexed="5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58"/>
      </right>
      <top style="thick">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4">
    <xf numFmtId="0" fontId="0" fillId="0" borderId="0" xfId="0" applyAlignment="1">
      <alignment/>
    </xf>
    <xf numFmtId="0" fontId="7" fillId="0" borderId="0" xfId="0" applyFont="1" applyAlignment="1">
      <alignment/>
    </xf>
    <xf numFmtId="0" fontId="2" fillId="0" borderId="0" xfId="0" applyFont="1" applyAlignment="1">
      <alignment/>
    </xf>
    <xf numFmtId="0" fontId="3" fillId="33" borderId="10" xfId="0" applyFont="1" applyFill="1" applyBorder="1" applyAlignment="1">
      <alignment horizontal="justify" vertical="top" wrapText="1"/>
    </xf>
    <xf numFmtId="0" fontId="2" fillId="33" borderId="10" xfId="0" applyFont="1" applyFill="1" applyBorder="1" applyAlignment="1">
      <alignment/>
    </xf>
    <xf numFmtId="0" fontId="7" fillId="33" borderId="10" xfId="0" applyFont="1" applyFill="1" applyBorder="1" applyAlignment="1">
      <alignment/>
    </xf>
    <xf numFmtId="0" fontId="7" fillId="34" borderId="11" xfId="0" applyFont="1" applyFill="1" applyBorder="1" applyAlignment="1">
      <alignment/>
    </xf>
    <xf numFmtId="0" fontId="7" fillId="34" borderId="12" xfId="0" applyFont="1" applyFill="1" applyBorder="1" applyAlignment="1">
      <alignment/>
    </xf>
    <xf numFmtId="0" fontId="7" fillId="35" borderId="13" xfId="0" applyFont="1" applyFill="1" applyBorder="1" applyAlignment="1">
      <alignment/>
    </xf>
    <xf numFmtId="0" fontId="7" fillId="34" borderId="14" xfId="0" applyFont="1" applyFill="1" applyBorder="1" applyAlignment="1">
      <alignment/>
    </xf>
    <xf numFmtId="0" fontId="7" fillId="34" borderId="15" xfId="0" applyFont="1" applyFill="1" applyBorder="1" applyAlignment="1">
      <alignment/>
    </xf>
    <xf numFmtId="0" fontId="3" fillId="33" borderId="16" xfId="0" applyFont="1" applyFill="1" applyBorder="1" applyAlignment="1">
      <alignment horizontal="justify" vertical="top" wrapText="1"/>
    </xf>
    <xf numFmtId="0" fontId="15" fillId="0" borderId="0" xfId="0" applyFont="1" applyAlignment="1">
      <alignment/>
    </xf>
    <xf numFmtId="0" fontId="3" fillId="35" borderId="0" xfId="0" applyFont="1" applyFill="1" applyBorder="1" applyAlignment="1">
      <alignment horizontal="justify" vertical="top" wrapText="1"/>
    </xf>
    <xf numFmtId="0" fontId="7" fillId="34" borderId="0" xfId="0" applyFont="1" applyFill="1" applyBorder="1" applyAlignment="1">
      <alignment/>
    </xf>
    <xf numFmtId="0" fontId="7" fillId="35" borderId="17" xfId="0" applyFont="1" applyFill="1" applyBorder="1" applyAlignment="1">
      <alignment/>
    </xf>
    <xf numFmtId="0" fontId="3" fillId="35" borderId="18" xfId="0" applyFont="1" applyFill="1" applyBorder="1" applyAlignment="1">
      <alignment horizontal="justify" vertical="top" wrapText="1"/>
    </xf>
    <xf numFmtId="0" fontId="2" fillId="34" borderId="16" xfId="0" applyFont="1" applyFill="1" applyBorder="1" applyAlignment="1">
      <alignment/>
    </xf>
    <xf numFmtId="0" fontId="2" fillId="34" borderId="10" xfId="0" applyFont="1" applyFill="1" applyBorder="1" applyAlignment="1">
      <alignment/>
    </xf>
    <xf numFmtId="171" fontId="3" fillId="36" borderId="12" xfId="0" applyNumberFormat="1" applyFont="1" applyFill="1" applyBorder="1" applyAlignment="1">
      <alignment horizontal="right" wrapText="1"/>
    </xf>
    <xf numFmtId="172" fontId="3" fillId="36" borderId="12" xfId="0" applyNumberFormat="1" applyFont="1" applyFill="1" applyBorder="1" applyAlignment="1">
      <alignment horizontal="right"/>
    </xf>
    <xf numFmtId="173" fontId="3" fillId="36" borderId="12" xfId="0" applyNumberFormat="1" applyFont="1" applyFill="1" applyBorder="1" applyAlignment="1">
      <alignment horizontal="right" wrapText="1"/>
    </xf>
    <xf numFmtId="175" fontId="3" fillId="36" borderId="12" xfId="0" applyNumberFormat="1" applyFont="1" applyFill="1" applyBorder="1" applyAlignment="1">
      <alignment horizontal="right" wrapText="1"/>
    </xf>
    <xf numFmtId="177" fontId="3" fillId="35" borderId="11" xfId="0" applyNumberFormat="1" applyFont="1" applyFill="1" applyBorder="1" applyAlignment="1">
      <alignment horizontal="right" wrapText="1"/>
    </xf>
    <xf numFmtId="178" fontId="3" fillId="35" borderId="11" xfId="0" applyNumberFormat="1" applyFont="1" applyFill="1" applyBorder="1" applyAlignment="1">
      <alignment horizontal="right" wrapText="1"/>
    </xf>
    <xf numFmtId="165" fontId="3" fillId="35" borderId="11" xfId="0" applyNumberFormat="1" applyFont="1" applyFill="1" applyBorder="1" applyAlignment="1">
      <alignment horizontal="right" wrapText="1"/>
    </xf>
    <xf numFmtId="179" fontId="3" fillId="35" borderId="14" xfId="0" applyNumberFormat="1" applyFont="1" applyFill="1" applyBorder="1" applyAlignment="1">
      <alignment horizontal="right" wrapText="1"/>
    </xf>
    <xf numFmtId="179" fontId="3" fillId="35" borderId="11" xfId="0" applyNumberFormat="1" applyFont="1" applyFill="1" applyBorder="1" applyAlignment="1">
      <alignment horizontal="right" wrapText="1"/>
    </xf>
    <xf numFmtId="169" fontId="3" fillId="35" borderId="11" xfId="0" applyNumberFormat="1" applyFont="1" applyFill="1" applyBorder="1" applyAlignment="1">
      <alignment horizontal="right" wrapText="1"/>
    </xf>
    <xf numFmtId="183" fontId="3" fillId="36" borderId="12" xfId="0" applyNumberFormat="1" applyFont="1" applyFill="1" applyBorder="1" applyAlignment="1">
      <alignment horizontal="right" wrapText="1"/>
    </xf>
    <xf numFmtId="0" fontId="3" fillId="33" borderId="10"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3" fillId="35" borderId="14" xfId="0" applyFont="1" applyFill="1" applyBorder="1" applyAlignment="1">
      <alignment vertical="center" wrapText="1"/>
    </xf>
    <xf numFmtId="0" fontId="3" fillId="35" borderId="11" xfId="0" applyFont="1" applyFill="1" applyBorder="1" applyAlignment="1">
      <alignment horizontal="justify" vertical="center" wrapText="1"/>
    </xf>
    <xf numFmtId="0" fontId="3" fillId="35" borderId="14" xfId="0" applyFont="1" applyFill="1" applyBorder="1" applyAlignment="1">
      <alignment horizontal="justify" vertical="center" wrapText="1"/>
    </xf>
    <xf numFmtId="0" fontId="3" fillId="37" borderId="15" xfId="0" applyFont="1" applyFill="1" applyBorder="1" applyAlignment="1">
      <alignment horizontal="justify" vertical="center" wrapText="1"/>
    </xf>
    <xf numFmtId="0" fontId="3" fillId="37" borderId="12" xfId="0" applyFont="1" applyFill="1" applyBorder="1" applyAlignment="1">
      <alignment horizontal="justify" vertical="center" wrapText="1"/>
    </xf>
    <xf numFmtId="0" fontId="2" fillId="37" borderId="12" xfId="0" applyFont="1" applyFill="1" applyBorder="1" applyAlignment="1">
      <alignment vertical="center"/>
    </xf>
    <xf numFmtId="0" fontId="3" fillId="38" borderId="14" xfId="0" applyNumberFormat="1" applyFont="1" applyFill="1" applyBorder="1" applyAlignment="1" applyProtection="1">
      <alignment horizontal="right" wrapText="1"/>
      <protection locked="0"/>
    </xf>
    <xf numFmtId="176" fontId="3" fillId="0" borderId="16" xfId="0" applyNumberFormat="1" applyFont="1" applyFill="1" applyBorder="1" applyAlignment="1" applyProtection="1">
      <alignment horizontal="right"/>
      <protection locked="0"/>
    </xf>
    <xf numFmtId="176" fontId="3" fillId="0" borderId="10" xfId="0" applyNumberFormat="1" applyFont="1" applyFill="1" applyBorder="1" applyAlignment="1" applyProtection="1">
      <alignment horizontal="right"/>
      <protection locked="0"/>
    </xf>
    <xf numFmtId="181" fontId="3" fillId="0" borderId="10" xfId="0" applyNumberFormat="1" applyFont="1" applyFill="1" applyBorder="1" applyAlignment="1" applyProtection="1">
      <alignment horizontal="right"/>
      <protection locked="0"/>
    </xf>
    <xf numFmtId="165" fontId="3" fillId="0" borderId="10" xfId="0" applyNumberFormat="1" applyFont="1" applyFill="1" applyBorder="1" applyAlignment="1" applyProtection="1">
      <alignment horizontal="right"/>
      <protection locked="0"/>
    </xf>
    <xf numFmtId="182" fontId="3" fillId="0" borderId="10" xfId="0" applyNumberFormat="1" applyFont="1" applyFill="1" applyBorder="1" applyAlignment="1" applyProtection="1">
      <alignment horizontal="right"/>
      <protection locked="0"/>
    </xf>
    <xf numFmtId="184" fontId="3" fillId="0" borderId="10" xfId="0" applyNumberFormat="1" applyFont="1" applyFill="1" applyBorder="1" applyAlignment="1" applyProtection="1">
      <alignment horizontal="right"/>
      <protection locked="0"/>
    </xf>
    <xf numFmtId="185" fontId="3" fillId="0" borderId="10" xfId="0" applyNumberFormat="1" applyFont="1" applyFill="1" applyBorder="1" applyAlignment="1" applyProtection="1">
      <alignment horizontal="right"/>
      <protection locked="0"/>
    </xf>
    <xf numFmtId="172" fontId="3" fillId="0" borderId="10" xfId="0" applyNumberFormat="1" applyFont="1" applyFill="1" applyBorder="1" applyAlignment="1" applyProtection="1">
      <alignment horizontal="right"/>
      <protection locked="0"/>
    </xf>
    <xf numFmtId="0" fontId="3" fillId="38" borderId="11" xfId="0" applyFont="1" applyFill="1" applyBorder="1" applyAlignment="1" applyProtection="1">
      <alignment horizontal="right" wrapText="1"/>
      <protection locked="0"/>
    </xf>
    <xf numFmtId="0" fontId="2" fillId="35" borderId="14" xfId="0" applyFont="1" applyFill="1" applyBorder="1" applyAlignment="1">
      <alignment vertical="center" wrapText="1"/>
    </xf>
    <xf numFmtId="186" fontId="0" fillId="0" borderId="0" xfId="0" applyNumberFormat="1" applyAlignment="1">
      <alignment/>
    </xf>
    <xf numFmtId="0" fontId="2" fillId="0" borderId="0" xfId="0" applyFont="1" applyBorder="1" applyAlignment="1">
      <alignment/>
    </xf>
    <xf numFmtId="166" fontId="2" fillId="0" borderId="19" xfId="0" applyNumberFormat="1" applyFont="1" applyBorder="1" applyAlignment="1">
      <alignment/>
    </xf>
    <xf numFmtId="191" fontId="3" fillId="36" borderId="12" xfId="0" applyNumberFormat="1" applyFont="1" applyFill="1" applyBorder="1" applyAlignment="1">
      <alignment horizontal="right" wrapText="1"/>
    </xf>
    <xf numFmtId="0" fontId="0" fillId="0" borderId="19" xfId="0" applyBorder="1" applyAlignment="1">
      <alignment horizontal="center"/>
    </xf>
    <xf numFmtId="0" fontId="0" fillId="0" borderId="19" xfId="0" applyBorder="1" applyAlignment="1">
      <alignment/>
    </xf>
    <xf numFmtId="0" fontId="3" fillId="37" borderId="20" xfId="0" applyFont="1" applyFill="1" applyBorder="1" applyAlignment="1">
      <alignment horizontal="justify" vertical="center" wrapText="1"/>
    </xf>
    <xf numFmtId="191" fontId="3" fillId="36" borderId="20" xfId="0" applyNumberFormat="1" applyFont="1" applyFill="1" applyBorder="1" applyAlignment="1">
      <alignment horizontal="right" wrapText="1"/>
    </xf>
    <xf numFmtId="0" fontId="7" fillId="34" borderId="20" xfId="0" applyFont="1" applyFill="1" applyBorder="1" applyAlignment="1">
      <alignment/>
    </xf>
    <xf numFmtId="167" fontId="3" fillId="36" borderId="20" xfId="0" applyNumberFormat="1" applyFont="1" applyFill="1" applyBorder="1" applyAlignment="1">
      <alignment horizontal="right" wrapText="1"/>
    </xf>
    <xf numFmtId="192" fontId="3" fillId="36" borderId="20" xfId="0" applyNumberFormat="1" applyFont="1" applyFill="1" applyBorder="1" applyAlignment="1">
      <alignment horizontal="right" wrapText="1"/>
    </xf>
    <xf numFmtId="175" fontId="3" fillId="36" borderId="20" xfId="0" applyNumberFormat="1" applyFont="1" applyFill="1" applyBorder="1" applyAlignment="1">
      <alignment horizontal="right" wrapText="1"/>
    </xf>
    <xf numFmtId="173" fontId="3" fillId="36" borderId="20" xfId="0" applyNumberFormat="1" applyFont="1" applyFill="1" applyBorder="1" applyAlignment="1">
      <alignment horizontal="right" wrapText="1"/>
    </xf>
    <xf numFmtId="183" fontId="3" fillId="36" borderId="20" xfId="0" applyNumberFormat="1" applyFont="1" applyFill="1" applyBorder="1" applyAlignment="1">
      <alignment horizontal="right" wrapText="1"/>
    </xf>
    <xf numFmtId="168" fontId="3" fillId="36" borderId="20" xfId="0" applyNumberFormat="1" applyFont="1" applyFill="1" applyBorder="1" applyAlignment="1">
      <alignment horizontal="right" wrapText="1"/>
    </xf>
    <xf numFmtId="169" fontId="3" fillId="36" borderId="20" xfId="0" applyNumberFormat="1" applyFont="1" applyFill="1" applyBorder="1" applyAlignment="1">
      <alignment horizontal="right" wrapText="1"/>
    </xf>
    <xf numFmtId="171" fontId="3" fillId="36" borderId="20" xfId="0" applyNumberFormat="1" applyFont="1" applyFill="1" applyBorder="1" applyAlignment="1">
      <alignment horizontal="right" wrapText="1"/>
    </xf>
    <xf numFmtId="0" fontId="2" fillId="37" borderId="20" xfId="0" applyFont="1" applyFill="1" applyBorder="1" applyAlignment="1">
      <alignment vertical="center"/>
    </xf>
    <xf numFmtId="172" fontId="3" fillId="36" borderId="20" xfId="0" applyNumberFormat="1" applyFont="1" applyFill="1" applyBorder="1" applyAlignment="1">
      <alignment horizontal="right"/>
    </xf>
    <xf numFmtId="193" fontId="3" fillId="0" borderId="10" xfId="0" applyNumberFormat="1" applyFont="1" applyFill="1" applyBorder="1" applyAlignment="1" applyProtection="1">
      <alignment horizontal="right"/>
      <protection locked="0"/>
    </xf>
    <xf numFmtId="0" fontId="15" fillId="0" borderId="21" xfId="0" applyFont="1" applyBorder="1" applyAlignment="1">
      <alignment horizontal="right"/>
    </xf>
    <xf numFmtId="194" fontId="3" fillId="0" borderId="10" xfId="0" applyNumberFormat="1" applyFont="1" applyFill="1" applyBorder="1" applyAlignment="1" applyProtection="1">
      <alignment horizontal="right"/>
      <protection locked="0"/>
    </xf>
    <xf numFmtId="0" fontId="7" fillId="0" borderId="0" xfId="0" applyFont="1" applyAlignment="1" applyProtection="1">
      <alignment/>
      <protection hidden="1"/>
    </xf>
    <xf numFmtId="0" fontId="2" fillId="0" borderId="0" xfId="0" applyFont="1" applyAlignment="1" applyProtection="1">
      <alignment/>
      <protection hidden="1"/>
    </xf>
    <xf numFmtId="0" fontId="16" fillId="39" borderId="19" xfId="0" applyFont="1" applyFill="1" applyBorder="1" applyAlignment="1" applyProtection="1">
      <alignment horizontal="center"/>
      <protection hidden="1"/>
    </xf>
    <xf numFmtId="0" fontId="3" fillId="40" borderId="19" xfId="0" applyFont="1" applyFill="1" applyBorder="1" applyAlignment="1" applyProtection="1">
      <alignment horizontal="center"/>
      <protection hidden="1"/>
    </xf>
    <xf numFmtId="0" fontId="2" fillId="41" borderId="19" xfId="0" applyFont="1" applyFill="1" applyBorder="1" applyAlignment="1" applyProtection="1">
      <alignment horizontal="center"/>
      <protection hidden="1"/>
    </xf>
    <xf numFmtId="0" fontId="3" fillId="33" borderId="19" xfId="0" applyFont="1" applyFill="1" applyBorder="1" applyAlignment="1" applyProtection="1">
      <alignment horizontal="center" vertical="center" wrapText="1"/>
      <protection hidden="1"/>
    </xf>
    <xf numFmtId="191" fontId="2" fillId="33" borderId="19" xfId="0" applyNumberFormat="1" applyFont="1" applyFill="1" applyBorder="1" applyAlignment="1" applyProtection="1">
      <alignment horizontal="right"/>
      <protection hidden="1"/>
    </xf>
    <xf numFmtId="166" fontId="3" fillId="42" borderId="19" xfId="0" applyNumberFormat="1" applyFont="1" applyFill="1" applyBorder="1" applyAlignment="1" applyProtection="1">
      <alignment/>
      <protection hidden="1"/>
    </xf>
    <xf numFmtId="0" fontId="2" fillId="37" borderId="19" xfId="0" applyFont="1" applyFill="1" applyBorder="1" applyAlignment="1" applyProtection="1">
      <alignment horizontal="center"/>
      <protection hidden="1"/>
    </xf>
    <xf numFmtId="189" fontId="2" fillId="36" borderId="19" xfId="0" applyNumberFormat="1" applyFont="1" applyFill="1" applyBorder="1" applyAlignment="1" applyProtection="1">
      <alignment horizontal="right"/>
      <protection hidden="1"/>
    </xf>
    <xf numFmtId="189" fontId="2" fillId="37" borderId="19" xfId="0" applyNumberFormat="1" applyFont="1" applyFill="1" applyBorder="1" applyAlignment="1" applyProtection="1">
      <alignment horizontal="right"/>
      <protection hidden="1"/>
    </xf>
    <xf numFmtId="0" fontId="2" fillId="0" borderId="0" xfId="0" applyFont="1" applyBorder="1" applyAlignment="1" applyProtection="1">
      <alignment/>
      <protection hidden="1"/>
    </xf>
    <xf numFmtId="172" fontId="2" fillId="36" borderId="19" xfId="0" applyNumberFormat="1" applyFont="1" applyFill="1" applyBorder="1" applyAlignment="1" applyProtection="1">
      <alignment horizontal="right"/>
      <protection hidden="1"/>
    </xf>
    <xf numFmtId="172" fontId="2" fillId="37" borderId="19" xfId="0" applyNumberFormat="1" applyFont="1" applyFill="1" applyBorder="1" applyAlignment="1" applyProtection="1">
      <alignment horizontal="right"/>
      <protection hidden="1"/>
    </xf>
    <xf numFmtId="0" fontId="2" fillId="0" borderId="0" xfId="0" applyFont="1" applyAlignment="1" applyProtection="1">
      <alignment vertical="center"/>
      <protection hidden="1"/>
    </xf>
    <xf numFmtId="0" fontId="2" fillId="40" borderId="19" xfId="0" applyFont="1" applyFill="1" applyBorder="1" applyAlignment="1" applyProtection="1">
      <alignment horizontal="center"/>
      <protection hidden="1"/>
    </xf>
    <xf numFmtId="166" fontId="2" fillId="42" borderId="19" xfId="0" applyNumberFormat="1" applyFont="1" applyFill="1" applyBorder="1" applyAlignment="1" applyProtection="1">
      <alignment/>
      <protection hidden="1"/>
    </xf>
    <xf numFmtId="183" fontId="2" fillId="43" borderId="19" xfId="0" applyNumberFormat="1" applyFont="1" applyFill="1" applyBorder="1" applyAlignment="1" applyProtection="1">
      <alignment horizontal="right"/>
      <protection hidden="1"/>
    </xf>
    <xf numFmtId="0" fontId="2" fillId="42" borderId="19" xfId="0" applyFont="1" applyFill="1" applyBorder="1" applyAlignment="1" applyProtection="1">
      <alignment/>
      <protection hidden="1"/>
    </xf>
    <xf numFmtId="183" fontId="2" fillId="37" borderId="19" xfId="0" applyNumberFormat="1" applyFont="1" applyFill="1" applyBorder="1" applyAlignment="1" applyProtection="1">
      <alignment horizontal="center"/>
      <protection hidden="1"/>
    </xf>
    <xf numFmtId="185" fontId="2" fillId="36" borderId="19" xfId="0" applyNumberFormat="1" applyFont="1" applyFill="1" applyBorder="1" applyAlignment="1" applyProtection="1">
      <alignment/>
      <protection hidden="1"/>
    </xf>
    <xf numFmtId="185" fontId="2" fillId="37" borderId="19" xfId="0" applyNumberFormat="1" applyFont="1" applyFill="1" applyBorder="1" applyAlignment="1" applyProtection="1">
      <alignment/>
      <protection hidden="1"/>
    </xf>
    <xf numFmtId="177" fontId="2" fillId="36" borderId="19" xfId="0" applyNumberFormat="1" applyFont="1" applyFill="1" applyBorder="1" applyAlignment="1" applyProtection="1">
      <alignment horizontal="right"/>
      <protection hidden="1"/>
    </xf>
    <xf numFmtId="177" fontId="2" fillId="37" borderId="19" xfId="0" applyNumberFormat="1" applyFont="1" applyFill="1" applyBorder="1" applyAlignment="1" applyProtection="1">
      <alignment horizontal="right"/>
      <protection hidden="1"/>
    </xf>
    <xf numFmtId="178" fontId="2" fillId="43" borderId="19" xfId="0" applyNumberFormat="1" applyFont="1" applyFill="1" applyBorder="1" applyAlignment="1" applyProtection="1">
      <alignment horizontal="right"/>
      <protection hidden="1"/>
    </xf>
    <xf numFmtId="165" fontId="2" fillId="36" borderId="19" xfId="0" applyNumberFormat="1" applyFont="1" applyFill="1" applyBorder="1" applyAlignment="1" applyProtection="1">
      <alignment horizontal="right"/>
      <protection hidden="1"/>
    </xf>
    <xf numFmtId="165" fontId="2" fillId="37" borderId="19" xfId="0" applyNumberFormat="1" applyFont="1" applyFill="1" applyBorder="1" applyAlignment="1" applyProtection="1">
      <alignment horizontal="right"/>
      <protection hidden="1"/>
    </xf>
    <xf numFmtId="0" fontId="2" fillId="33" borderId="19" xfId="0" applyFont="1" applyFill="1" applyBorder="1" applyAlignment="1" applyProtection="1">
      <alignment/>
      <protection hidden="1"/>
    </xf>
    <xf numFmtId="0" fontId="2" fillId="0" borderId="19" xfId="0" applyFont="1" applyFill="1" applyBorder="1" applyAlignment="1" applyProtection="1">
      <alignment/>
      <protection hidden="1"/>
    </xf>
    <xf numFmtId="179" fontId="2" fillId="36" borderId="19" xfId="0" applyNumberFormat="1" applyFont="1" applyFill="1" applyBorder="1" applyAlignment="1" applyProtection="1">
      <alignment horizontal="right"/>
      <protection hidden="1"/>
    </xf>
    <xf numFmtId="179" fontId="2" fillId="37" borderId="19" xfId="0" applyNumberFormat="1" applyFont="1" applyFill="1" applyBorder="1" applyAlignment="1" applyProtection="1">
      <alignment horizontal="right"/>
      <protection hidden="1"/>
    </xf>
    <xf numFmtId="195" fontId="2" fillId="36" borderId="19" xfId="0" applyNumberFormat="1" applyFont="1" applyFill="1" applyBorder="1" applyAlignment="1" applyProtection="1">
      <alignment horizontal="right"/>
      <protection hidden="1"/>
    </xf>
    <xf numFmtId="194" fontId="2" fillId="37" borderId="19" xfId="0" applyNumberFormat="1" applyFont="1" applyFill="1" applyBorder="1" applyAlignment="1" applyProtection="1">
      <alignment horizontal="right"/>
      <protection hidden="1"/>
    </xf>
    <xf numFmtId="171" fontId="2" fillId="43" borderId="19" xfId="0" applyNumberFormat="1" applyFont="1" applyFill="1" applyBorder="1" applyAlignment="1" applyProtection="1">
      <alignment horizontal="right"/>
      <protection hidden="1"/>
    </xf>
    <xf numFmtId="0" fontId="2" fillId="37" borderId="19" xfId="0" applyFont="1" applyFill="1" applyBorder="1" applyAlignment="1" applyProtection="1">
      <alignment/>
      <protection hidden="1"/>
    </xf>
    <xf numFmtId="169" fontId="2" fillId="43" borderId="19" xfId="0" applyNumberFormat="1" applyFont="1" applyFill="1" applyBorder="1" applyAlignment="1" applyProtection="1">
      <alignment horizontal="right"/>
      <protection hidden="1"/>
    </xf>
    <xf numFmtId="187" fontId="2" fillId="36" borderId="19" xfId="0" applyNumberFormat="1" applyFont="1" applyFill="1" applyBorder="1" applyAlignment="1" applyProtection="1">
      <alignment horizontal="right"/>
      <protection hidden="1"/>
    </xf>
    <xf numFmtId="187" fontId="2" fillId="37" borderId="19" xfId="0" applyNumberFormat="1" applyFont="1" applyFill="1" applyBorder="1" applyAlignment="1" applyProtection="1">
      <alignment horizontal="right"/>
      <protection hidden="1"/>
    </xf>
    <xf numFmtId="164" fontId="2" fillId="36" borderId="19" xfId="0" applyNumberFormat="1" applyFont="1" applyFill="1" applyBorder="1" applyAlignment="1" applyProtection="1">
      <alignment horizontal="right"/>
      <protection hidden="1"/>
    </xf>
    <xf numFmtId="164" fontId="2" fillId="37" borderId="19" xfId="0" applyNumberFormat="1" applyFont="1" applyFill="1" applyBorder="1" applyAlignment="1" applyProtection="1">
      <alignment horizontal="right"/>
      <protection hidden="1"/>
    </xf>
    <xf numFmtId="175" fontId="2" fillId="43" borderId="19" xfId="0" applyNumberFormat="1" applyFont="1" applyFill="1" applyBorder="1" applyAlignment="1" applyProtection="1">
      <alignment horizontal="right"/>
      <protection hidden="1"/>
    </xf>
    <xf numFmtId="185" fontId="2" fillId="36" borderId="19" xfId="0" applyNumberFormat="1" applyFont="1" applyFill="1" applyBorder="1" applyAlignment="1" applyProtection="1">
      <alignment horizontal="right"/>
      <protection hidden="1"/>
    </xf>
    <xf numFmtId="185" fontId="2" fillId="37" borderId="19" xfId="0" applyNumberFormat="1" applyFont="1" applyFill="1" applyBorder="1" applyAlignment="1" applyProtection="1">
      <alignment horizontal="right"/>
      <protection hidden="1"/>
    </xf>
    <xf numFmtId="0" fontId="2" fillId="36" borderId="19" xfId="0" applyFont="1" applyFill="1" applyBorder="1" applyAlignment="1" applyProtection="1">
      <alignment/>
      <protection hidden="1"/>
    </xf>
    <xf numFmtId="193" fontId="2" fillId="36" borderId="19" xfId="0" applyNumberFormat="1" applyFont="1" applyFill="1" applyBorder="1" applyAlignment="1" applyProtection="1">
      <alignment/>
      <protection hidden="1"/>
    </xf>
    <xf numFmtId="193" fontId="2" fillId="37" borderId="19" xfId="0" applyNumberFormat="1" applyFont="1" applyFill="1" applyBorder="1" applyAlignment="1" applyProtection="1">
      <alignment/>
      <protection hidden="1"/>
    </xf>
    <xf numFmtId="173" fontId="2" fillId="33" borderId="19" xfId="0" applyNumberFormat="1" applyFont="1" applyFill="1" applyBorder="1" applyAlignment="1" applyProtection="1">
      <alignment horizontal="right"/>
      <protection hidden="1"/>
    </xf>
    <xf numFmtId="173" fontId="2" fillId="42" borderId="19" xfId="0" applyNumberFormat="1" applyFont="1" applyFill="1" applyBorder="1" applyAlignment="1" applyProtection="1">
      <alignment/>
      <protection hidden="1"/>
    </xf>
    <xf numFmtId="190" fontId="2" fillId="36" borderId="19" xfId="0" applyNumberFormat="1" applyFont="1" applyFill="1" applyBorder="1" applyAlignment="1" applyProtection="1">
      <alignment horizontal="right"/>
      <protection hidden="1"/>
    </xf>
    <xf numFmtId="190" fontId="2" fillId="37" borderId="19" xfId="0" applyNumberFormat="1" applyFont="1" applyFill="1" applyBorder="1" applyAlignment="1" applyProtection="1">
      <alignment horizontal="right"/>
      <protection hidden="1"/>
    </xf>
    <xf numFmtId="188" fontId="2" fillId="36" borderId="19" xfId="0" applyNumberFormat="1" applyFont="1" applyFill="1" applyBorder="1" applyAlignment="1" applyProtection="1">
      <alignment horizontal="right"/>
      <protection hidden="1"/>
    </xf>
    <xf numFmtId="188" fontId="2" fillId="37" borderId="19" xfId="0" applyNumberFormat="1" applyFont="1" applyFill="1" applyBorder="1" applyAlignment="1" applyProtection="1">
      <alignment horizontal="right"/>
      <protection hidden="1"/>
    </xf>
    <xf numFmtId="0" fontId="15" fillId="0" borderId="0" xfId="0" applyFont="1" applyAlignment="1" applyProtection="1">
      <alignment/>
      <protection hidden="1"/>
    </xf>
    <xf numFmtId="178" fontId="3" fillId="36" borderId="20" xfId="0" applyNumberFormat="1" applyFont="1" applyFill="1" applyBorder="1" applyAlignment="1">
      <alignment horizontal="right" wrapText="1"/>
    </xf>
    <xf numFmtId="176" fontId="2" fillId="0" borderId="10" xfId="0" applyNumberFormat="1" applyFont="1" applyFill="1" applyBorder="1" applyAlignment="1" applyProtection="1">
      <alignment horizontal="right"/>
      <protection locked="0"/>
    </xf>
    <xf numFmtId="0" fontId="8" fillId="41" borderId="22" xfId="0" applyFont="1" applyFill="1" applyBorder="1" applyAlignment="1">
      <alignment horizontal="center" vertical="top" wrapText="1"/>
    </xf>
    <xf numFmtId="0" fontId="8" fillId="41" borderId="23" xfId="0" applyFont="1" applyFill="1" applyBorder="1" applyAlignment="1">
      <alignment horizontal="center" vertical="top" wrapText="1"/>
    </xf>
    <xf numFmtId="0" fontId="12" fillId="44" borderId="24" xfId="0" applyFont="1" applyFill="1" applyBorder="1" applyAlignment="1">
      <alignment horizontal="center" vertical="top" wrapText="1"/>
    </xf>
    <xf numFmtId="0" fontId="7" fillId="0" borderId="25" xfId="0" applyFont="1" applyBorder="1" applyAlignment="1">
      <alignment horizontal="center"/>
    </xf>
    <xf numFmtId="0" fontId="12" fillId="44" borderId="26" xfId="0" applyFont="1" applyFill="1" applyBorder="1" applyAlignment="1">
      <alignment horizontal="center" vertical="top" wrapText="1"/>
    </xf>
    <xf numFmtId="2" fontId="3" fillId="0" borderId="10" xfId="0" applyNumberFormat="1" applyFont="1" applyFill="1" applyBorder="1" applyAlignment="1" applyProtection="1">
      <alignment/>
      <protection locked="0"/>
    </xf>
    <xf numFmtId="0" fontId="2" fillId="35" borderId="11" xfId="0" applyFont="1" applyFill="1" applyBorder="1" applyAlignment="1">
      <alignment/>
    </xf>
    <xf numFmtId="189" fontId="2" fillId="35" borderId="11" xfId="0" applyNumberFormat="1" applyFont="1" applyFill="1" applyBorder="1" applyAlignment="1">
      <alignment/>
    </xf>
    <xf numFmtId="196" fontId="3" fillId="36" borderId="15" xfId="0" applyNumberFormat="1" applyFont="1" applyFill="1" applyBorder="1" applyAlignment="1">
      <alignment horizontal="right" wrapText="1"/>
    </xf>
    <xf numFmtId="196" fontId="3" fillId="36" borderId="12" xfId="0" applyNumberFormat="1" applyFont="1" applyFill="1" applyBorder="1" applyAlignment="1">
      <alignment horizontal="right" wrapText="1"/>
    </xf>
    <xf numFmtId="196" fontId="2" fillId="33" borderId="19" xfId="0" applyNumberFormat="1" applyFont="1" applyFill="1" applyBorder="1" applyAlignment="1" applyProtection="1">
      <alignment horizontal="right"/>
      <protection hidden="1"/>
    </xf>
    <xf numFmtId="196" fontId="2" fillId="43" borderId="19" xfId="0" applyNumberFormat="1" applyFont="1" applyFill="1" applyBorder="1" applyAlignment="1" applyProtection="1">
      <alignment horizontal="right"/>
      <protection hidden="1"/>
    </xf>
    <xf numFmtId="197" fontId="0" fillId="0" borderId="0" xfId="0" applyNumberFormat="1" applyAlignment="1">
      <alignment/>
    </xf>
    <xf numFmtId="0" fontId="7" fillId="0" borderId="27" xfId="0" applyFont="1" applyBorder="1" applyAlignment="1">
      <alignment/>
    </xf>
    <xf numFmtId="0" fontId="2" fillId="0" borderId="27" xfId="0" applyFont="1" applyBorder="1" applyAlignment="1">
      <alignment/>
    </xf>
    <xf numFmtId="180" fontId="0" fillId="0" borderId="0" xfId="0" applyNumberFormat="1" applyAlignment="1">
      <alignment/>
    </xf>
    <xf numFmtId="0" fontId="0" fillId="0" borderId="0" xfId="0" applyAlignment="1">
      <alignment horizontal="center"/>
    </xf>
    <xf numFmtId="0" fontId="0" fillId="0" borderId="0" xfId="0" applyAlignment="1">
      <alignment horizontal="left"/>
    </xf>
    <xf numFmtId="180" fontId="0" fillId="0" borderId="0" xfId="0" applyNumberFormat="1" applyAlignment="1">
      <alignment horizontal="center"/>
    </xf>
    <xf numFmtId="0" fontId="0" fillId="0" borderId="25" xfId="0" applyBorder="1" applyAlignment="1">
      <alignment/>
    </xf>
    <xf numFmtId="180" fontId="22" fillId="0" borderId="0" xfId="0" applyNumberFormat="1" applyFont="1" applyAlignment="1">
      <alignment horizontal="center"/>
    </xf>
    <xf numFmtId="0" fontId="22" fillId="0" borderId="0" xfId="0" applyFont="1" applyAlignment="1">
      <alignment horizontal="center"/>
    </xf>
    <xf numFmtId="0" fontId="0" fillId="0" borderId="0" xfId="0" applyAlignment="1">
      <alignment/>
    </xf>
    <xf numFmtId="0" fontId="2" fillId="0" borderId="0" xfId="0" applyFont="1" applyAlignment="1">
      <alignment horizontal="left"/>
    </xf>
    <xf numFmtId="0" fontId="2" fillId="0" borderId="0" xfId="0" applyFont="1" applyFill="1" applyBorder="1" applyAlignment="1">
      <alignment horizontal="left" vertical="center" wrapText="1"/>
    </xf>
    <xf numFmtId="198" fontId="3" fillId="36" borderId="28" xfId="0" applyNumberFormat="1" applyFont="1" applyFill="1" applyBorder="1" applyAlignment="1">
      <alignment horizontal="left" wrapText="1"/>
    </xf>
    <xf numFmtId="198" fontId="3" fillId="0" borderId="0" xfId="0" applyNumberFormat="1" applyFont="1" applyFill="1" applyBorder="1" applyAlignment="1">
      <alignment horizontal="left" wrapText="1"/>
    </xf>
    <xf numFmtId="0" fontId="1" fillId="0" borderId="0" xfId="0" applyFont="1" applyAlignment="1">
      <alignment/>
    </xf>
    <xf numFmtId="2" fontId="3" fillId="36" borderId="29" xfId="0" applyNumberFormat="1" applyFont="1" applyFill="1" applyBorder="1" applyAlignment="1">
      <alignment horizontal="right" wrapText="1"/>
    </xf>
    <xf numFmtId="0" fontId="2" fillId="0" borderId="0" xfId="0" applyFont="1" applyFill="1" applyBorder="1" applyAlignment="1" applyProtection="1">
      <alignment horizontal="left" vertical="center" wrapText="1"/>
      <protection hidden="1"/>
    </xf>
    <xf numFmtId="0" fontId="2" fillId="35" borderId="19" xfId="0" applyFont="1" applyFill="1" applyBorder="1" applyAlignment="1">
      <alignment horizontal="center" vertical="center" wrapText="1"/>
    </xf>
    <xf numFmtId="0" fontId="1" fillId="35" borderId="19" xfId="0" applyFont="1" applyFill="1" applyBorder="1" applyAlignment="1">
      <alignment horizontal="center"/>
    </xf>
    <xf numFmtId="168" fontId="3" fillId="0" borderId="12" xfId="0" applyNumberFormat="1" applyFont="1" applyFill="1" applyBorder="1" applyAlignment="1" applyProtection="1">
      <alignment horizontal="right" wrapText="1"/>
      <protection locked="0"/>
    </xf>
    <xf numFmtId="169" fontId="3" fillId="0" borderId="12" xfId="0" applyNumberFormat="1" applyFont="1" applyFill="1" applyBorder="1" applyAlignment="1" applyProtection="1">
      <alignment horizontal="right" wrapText="1"/>
      <protection locked="0"/>
    </xf>
    <xf numFmtId="167" fontId="3" fillId="0" borderId="12" xfId="0" applyNumberFormat="1" applyFont="1" applyFill="1" applyBorder="1" applyAlignment="1" applyProtection="1">
      <alignment horizontal="right" wrapText="1"/>
      <protection locked="0"/>
    </xf>
    <xf numFmtId="2" fontId="3" fillId="33" borderId="10" xfId="0" applyNumberFormat="1" applyFont="1" applyFill="1" applyBorder="1" applyAlignment="1" applyProtection="1">
      <alignment/>
      <protection/>
    </xf>
    <xf numFmtId="2" fontId="3" fillId="0" borderId="30" xfId="0" applyNumberFormat="1" applyFont="1" applyFill="1" applyBorder="1" applyAlignment="1" applyProtection="1">
      <alignment/>
      <protection/>
    </xf>
    <xf numFmtId="191" fontId="2" fillId="0" borderId="19" xfId="0" applyNumberFormat="1" applyFont="1" applyBorder="1" applyAlignment="1" applyProtection="1">
      <alignment horizontal="right"/>
      <protection locked="0"/>
    </xf>
    <xf numFmtId="196" fontId="2" fillId="0" borderId="19" xfId="0" applyNumberFormat="1" applyFont="1" applyBorder="1" applyAlignment="1" applyProtection="1">
      <alignment horizontal="right"/>
      <protection locked="0"/>
    </xf>
    <xf numFmtId="183" fontId="2" fillId="0" borderId="19" xfId="0" applyNumberFormat="1" applyFont="1" applyBorder="1" applyAlignment="1" applyProtection="1">
      <alignment horizontal="right"/>
      <protection locked="0"/>
    </xf>
    <xf numFmtId="178" fontId="2" fillId="0" borderId="19" xfId="0" applyNumberFormat="1" applyFont="1" applyBorder="1" applyAlignment="1" applyProtection="1">
      <alignment horizontal="right"/>
      <protection locked="0"/>
    </xf>
    <xf numFmtId="170" fontId="2" fillId="0" borderId="19" xfId="0" applyNumberFormat="1" applyFont="1" applyBorder="1" applyAlignment="1" applyProtection="1">
      <alignment horizontal="right"/>
      <protection locked="0"/>
    </xf>
    <xf numFmtId="169" fontId="2" fillId="0" borderId="19" xfId="0" applyNumberFormat="1" applyFont="1" applyBorder="1" applyAlignment="1" applyProtection="1">
      <alignment horizontal="right"/>
      <protection locked="0"/>
    </xf>
    <xf numFmtId="175" fontId="2" fillId="0" borderId="19" xfId="0" applyNumberFormat="1" applyFont="1" applyBorder="1" applyAlignment="1" applyProtection="1">
      <alignment horizontal="right"/>
      <protection locked="0"/>
    </xf>
    <xf numFmtId="173" fontId="2" fillId="0" borderId="19" xfId="0" applyNumberFormat="1" applyFont="1" applyBorder="1" applyAlignment="1" applyProtection="1">
      <alignment horizontal="right"/>
      <protection locked="0"/>
    </xf>
    <xf numFmtId="0" fontId="0" fillId="0" borderId="0" xfId="0" applyAlignment="1" applyProtection="1">
      <alignment/>
      <protection locked="0"/>
    </xf>
    <xf numFmtId="180" fontId="3" fillId="0" borderId="16" xfId="0" applyNumberFormat="1" applyFont="1" applyFill="1" applyBorder="1" applyAlignment="1" applyProtection="1">
      <alignment horizontal="right"/>
      <protection locked="0"/>
    </xf>
    <xf numFmtId="200" fontId="3" fillId="0" borderId="10" xfId="0"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 fontId="3" fillId="0" borderId="10" xfId="0" applyNumberFormat="1" applyFont="1" applyFill="1" applyBorder="1" applyAlignment="1" applyProtection="1">
      <alignment horizontal="right"/>
      <protection locked="0"/>
    </xf>
    <xf numFmtId="197" fontId="3" fillId="0" borderId="10" xfId="0" applyNumberFormat="1" applyFont="1" applyFill="1" applyBorder="1" applyAlignment="1" applyProtection="1">
      <alignment horizontal="right"/>
      <protection locked="0"/>
    </xf>
    <xf numFmtId="2" fontId="3" fillId="0" borderId="10" xfId="0" applyNumberFormat="1" applyFont="1" applyFill="1" applyBorder="1" applyAlignment="1" applyProtection="1">
      <alignment horizontal="right"/>
      <protection locked="0"/>
    </xf>
    <xf numFmtId="0" fontId="3" fillId="33" borderId="10" xfId="0" applyFont="1" applyFill="1" applyBorder="1" applyAlignment="1">
      <alignment horizontal="left" vertical="center" wrapText="1"/>
    </xf>
    <xf numFmtId="0" fontId="12" fillId="44" borderId="24" xfId="0" applyFont="1" applyFill="1" applyBorder="1" applyAlignment="1">
      <alignment horizontal="left" vertical="top" wrapText="1"/>
    </xf>
    <xf numFmtId="180" fontId="2" fillId="35" borderId="11" xfId="0" applyNumberFormat="1" applyFont="1" applyFill="1" applyBorder="1" applyAlignment="1">
      <alignment/>
    </xf>
    <xf numFmtId="0" fontId="3" fillId="35" borderId="11" xfId="0" applyFont="1" applyFill="1" applyBorder="1" applyAlignment="1">
      <alignment horizontal="left" vertical="center" wrapText="1"/>
    </xf>
    <xf numFmtId="204" fontId="3" fillId="0" borderId="10" xfId="0" applyNumberFormat="1" applyFont="1" applyFill="1" applyBorder="1" applyAlignment="1" applyProtection="1">
      <alignment horizontal="right"/>
      <protection locked="0"/>
    </xf>
    <xf numFmtId="204" fontId="2" fillId="35" borderId="11" xfId="0" applyNumberFormat="1" applyFont="1" applyFill="1" applyBorder="1" applyAlignment="1">
      <alignment/>
    </xf>
    <xf numFmtId="179" fontId="2" fillId="35" borderId="11" xfId="0" applyNumberFormat="1" applyFont="1" applyFill="1" applyBorder="1" applyAlignment="1">
      <alignment/>
    </xf>
    <xf numFmtId="174" fontId="2" fillId="35" borderId="11" xfId="0" applyNumberFormat="1" applyFont="1" applyFill="1" applyBorder="1" applyAlignment="1">
      <alignment/>
    </xf>
    <xf numFmtId="205" fontId="2" fillId="35" borderId="11" xfId="0" applyNumberFormat="1" applyFont="1" applyFill="1" applyBorder="1" applyAlignment="1">
      <alignment/>
    </xf>
    <xf numFmtId="206" fontId="2" fillId="35" borderId="11" xfId="0" applyNumberFormat="1" applyFont="1" applyFill="1" applyBorder="1" applyAlignment="1">
      <alignment/>
    </xf>
    <xf numFmtId="194" fontId="2" fillId="35" borderId="11" xfId="0" applyNumberFormat="1" applyFont="1" applyFill="1" applyBorder="1" applyAlignment="1">
      <alignment/>
    </xf>
    <xf numFmtId="180" fontId="3" fillId="35" borderId="11" xfId="0" applyNumberFormat="1" applyFont="1" applyFill="1" applyBorder="1" applyAlignment="1">
      <alignment horizontal="right" wrapText="1"/>
    </xf>
    <xf numFmtId="0" fontId="5" fillId="0" borderId="0" xfId="0" applyFont="1" applyAlignment="1">
      <alignment/>
    </xf>
    <xf numFmtId="0" fontId="3" fillId="35" borderId="11" xfId="0" applyFont="1" applyFill="1" applyBorder="1" applyAlignment="1">
      <alignment horizontal="justify" vertical="top" wrapText="1"/>
    </xf>
    <xf numFmtId="0" fontId="3" fillId="35" borderId="11" xfId="0" applyFont="1" applyFill="1" applyBorder="1" applyAlignment="1">
      <alignment vertical="center" wrapText="1"/>
    </xf>
    <xf numFmtId="0" fontId="23" fillId="35" borderId="11" xfId="0" applyFont="1" applyFill="1" applyBorder="1" applyAlignment="1">
      <alignment horizontal="justify" vertical="center" wrapText="1"/>
    </xf>
    <xf numFmtId="207" fontId="3" fillId="35" borderId="11" xfId="0" applyNumberFormat="1" applyFont="1" applyFill="1" applyBorder="1" applyAlignment="1">
      <alignment horizontal="right" wrapText="1"/>
    </xf>
    <xf numFmtId="0" fontId="3" fillId="35" borderId="11" xfId="0" applyFont="1" applyFill="1" applyBorder="1" applyAlignment="1">
      <alignment horizontal="right" vertical="top" wrapText="1"/>
    </xf>
    <xf numFmtId="0" fontId="3" fillId="37" borderId="15" xfId="0" applyFont="1" applyFill="1" applyBorder="1" applyAlignment="1">
      <alignment horizontal="left" vertical="center" wrapText="1"/>
    </xf>
    <xf numFmtId="211" fontId="3" fillId="0" borderId="12" xfId="0" applyNumberFormat="1" applyFont="1" applyFill="1" applyBorder="1" applyAlignment="1" applyProtection="1">
      <alignment horizontal="right" wrapText="1"/>
      <protection locked="0"/>
    </xf>
    <xf numFmtId="0" fontId="3" fillId="37" borderId="12" xfId="0" applyFont="1" applyFill="1" applyBorder="1" applyAlignment="1">
      <alignment horizontal="left" vertical="center" wrapText="1"/>
    </xf>
    <xf numFmtId="0" fontId="25" fillId="37" borderId="12" xfId="0" applyFont="1" applyFill="1" applyBorder="1" applyAlignment="1">
      <alignment horizontal="justify" vertical="center" wrapText="1"/>
    </xf>
    <xf numFmtId="212" fontId="3" fillId="0" borderId="12" xfId="0" applyNumberFormat="1" applyFont="1" applyFill="1" applyBorder="1" applyAlignment="1" applyProtection="1">
      <alignment horizontal="right" wrapText="1"/>
      <protection locked="0"/>
    </xf>
    <xf numFmtId="1" fontId="3" fillId="36" borderId="12" xfId="0" applyNumberFormat="1" applyFont="1" applyFill="1" applyBorder="1" applyAlignment="1">
      <alignment horizontal="right" wrapText="1"/>
    </xf>
    <xf numFmtId="207" fontId="3" fillId="0" borderId="12" xfId="0" applyNumberFormat="1" applyFont="1" applyFill="1" applyBorder="1" applyAlignment="1" applyProtection="1">
      <alignment horizontal="right" wrapText="1"/>
      <protection locked="0"/>
    </xf>
    <xf numFmtId="0" fontId="3" fillId="33" borderId="16" xfId="0" applyFont="1" applyFill="1" applyBorder="1" applyAlignment="1">
      <alignment horizontal="left" vertical="center" wrapText="1"/>
    </xf>
    <xf numFmtId="176" fontId="2" fillId="0" borderId="11" xfId="0" applyNumberFormat="1" applyFont="1" applyFill="1" applyBorder="1" applyAlignment="1">
      <alignment/>
    </xf>
    <xf numFmtId="2" fontId="3" fillId="0" borderId="0" xfId="0" applyNumberFormat="1" applyFont="1" applyFill="1" applyBorder="1" applyAlignment="1" applyProtection="1">
      <alignment/>
      <protection/>
    </xf>
    <xf numFmtId="11" fontId="3" fillId="45" borderId="10" xfId="0" applyNumberFormat="1" applyFont="1" applyFill="1" applyBorder="1" applyAlignment="1" applyProtection="1">
      <alignment horizontal="right"/>
      <protection/>
    </xf>
    <xf numFmtId="0" fontId="2" fillId="33" borderId="10" xfId="0" applyFont="1" applyFill="1" applyBorder="1" applyAlignment="1" applyProtection="1">
      <alignment vertical="center"/>
      <protection/>
    </xf>
    <xf numFmtId="0" fontId="7" fillId="33" borderId="10" xfId="0" applyFont="1" applyFill="1" applyBorder="1" applyAlignment="1" applyProtection="1">
      <alignment/>
      <protection/>
    </xf>
    <xf numFmtId="0" fontId="2" fillId="33" borderId="10" xfId="0" applyFont="1" applyFill="1" applyBorder="1" applyAlignment="1" applyProtection="1">
      <alignment/>
      <protection/>
    </xf>
    <xf numFmtId="201" fontId="3" fillId="45" borderId="10" xfId="0" applyNumberFormat="1" applyFont="1" applyFill="1" applyBorder="1" applyAlignment="1" applyProtection="1">
      <alignment horizontal="right"/>
      <protection/>
    </xf>
    <xf numFmtId="0" fontId="3" fillId="0" borderId="11" xfId="0" applyFont="1" applyFill="1" applyBorder="1" applyAlignment="1" applyProtection="1">
      <alignment horizontal="justify" vertical="center" wrapText="1"/>
      <protection locked="0"/>
    </xf>
    <xf numFmtId="0" fontId="3" fillId="37" borderId="12" xfId="0" applyFont="1" applyFill="1" applyBorder="1" applyAlignment="1" applyProtection="1">
      <alignment horizontal="justify" vertical="center" wrapText="1"/>
      <protection/>
    </xf>
    <xf numFmtId="0" fontId="25" fillId="37" borderId="12" xfId="0" applyFont="1" applyFill="1" applyBorder="1" applyAlignment="1" applyProtection="1">
      <alignment horizontal="justify" vertical="center" wrapText="1"/>
      <protection/>
    </xf>
    <xf numFmtId="206" fontId="3" fillId="36" borderId="12" xfId="0" applyNumberFormat="1" applyFont="1" applyFill="1" applyBorder="1" applyAlignment="1" applyProtection="1">
      <alignment horizontal="right" wrapText="1"/>
      <protection/>
    </xf>
    <xf numFmtId="0" fontId="7" fillId="34" borderId="12" xfId="0" applyFont="1" applyFill="1" applyBorder="1" applyAlignment="1" applyProtection="1">
      <alignment/>
      <protection/>
    </xf>
    <xf numFmtId="0" fontId="3" fillId="37" borderId="12" xfId="0" applyFont="1" applyFill="1" applyBorder="1" applyAlignment="1" applyProtection="1">
      <alignment horizontal="left" vertical="center" wrapText="1"/>
      <protection/>
    </xf>
    <xf numFmtId="213" fontId="3" fillId="36" borderId="12" xfId="0" applyNumberFormat="1" applyFont="1" applyFill="1" applyBorder="1" applyAlignment="1" applyProtection="1">
      <alignment horizontal="right" wrapText="1"/>
      <protection/>
    </xf>
    <xf numFmtId="0" fontId="7" fillId="0" borderId="0" xfId="0" applyFont="1" applyAlignment="1" applyProtection="1">
      <alignment/>
      <protection/>
    </xf>
    <xf numFmtId="1" fontId="3" fillId="36" borderId="12" xfId="0" applyNumberFormat="1" applyFont="1" applyFill="1" applyBorder="1" applyAlignment="1" applyProtection="1">
      <alignment horizontal="right" wrapText="1"/>
      <protection/>
    </xf>
    <xf numFmtId="214" fontId="3" fillId="36" borderId="12" xfId="0" applyNumberFormat="1" applyFont="1" applyFill="1" applyBorder="1" applyAlignment="1" applyProtection="1">
      <alignment horizontal="right" wrapText="1"/>
      <protection/>
    </xf>
    <xf numFmtId="0" fontId="8" fillId="41" borderId="31" xfId="0" applyFont="1" applyFill="1" applyBorder="1" applyAlignment="1" applyProtection="1">
      <alignment horizontal="left" vertical="top" wrapText="1"/>
      <protection/>
    </xf>
    <xf numFmtId="0" fontId="8" fillId="41" borderId="32" xfId="0" applyFont="1" applyFill="1" applyBorder="1" applyAlignment="1" applyProtection="1">
      <alignment horizontal="center" vertical="top" wrapText="1"/>
      <protection/>
    </xf>
    <xf numFmtId="0" fontId="3" fillId="37" borderId="15" xfId="0" applyFont="1" applyFill="1" applyBorder="1" applyAlignment="1" applyProtection="1">
      <alignment horizontal="left" vertical="center" wrapText="1"/>
      <protection/>
    </xf>
    <xf numFmtId="0" fontId="3" fillId="37" borderId="15" xfId="0" applyFont="1" applyFill="1" applyBorder="1" applyAlignment="1" applyProtection="1">
      <alignment horizontal="justify" vertical="center" wrapText="1"/>
      <protection/>
    </xf>
    <xf numFmtId="170" fontId="3" fillId="46" borderId="12" xfId="0" applyNumberFormat="1" applyFont="1" applyFill="1" applyBorder="1" applyAlignment="1" applyProtection="1">
      <alignment horizontal="right" wrapText="1"/>
      <protection/>
    </xf>
    <xf numFmtId="0" fontId="7" fillId="34" borderId="15" xfId="0" applyFont="1" applyFill="1" applyBorder="1" applyAlignment="1" applyProtection="1">
      <alignment/>
      <protection/>
    </xf>
    <xf numFmtId="172" fontId="3" fillId="46" borderId="12" xfId="0" applyNumberFormat="1" applyFont="1" applyFill="1" applyBorder="1" applyAlignment="1" applyProtection="1">
      <alignment horizontal="right"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justify" vertical="center" wrapText="1"/>
      <protection/>
    </xf>
    <xf numFmtId="170" fontId="3" fillId="0" borderId="0" xfId="0" applyNumberFormat="1" applyFont="1" applyFill="1" applyBorder="1" applyAlignment="1" applyProtection="1">
      <alignment horizontal="right" wrapText="1"/>
      <protection/>
    </xf>
    <xf numFmtId="0" fontId="7" fillId="0" borderId="0" xfId="0" applyFont="1" applyFill="1" applyBorder="1" applyAlignment="1" applyProtection="1">
      <alignment/>
      <protection/>
    </xf>
    <xf numFmtId="172" fontId="3" fillId="0" borderId="0" xfId="0" applyNumberFormat="1" applyFont="1" applyFill="1" applyBorder="1" applyAlignment="1" applyProtection="1">
      <alignment horizontal="right" wrapText="1"/>
      <protection/>
    </xf>
    <xf numFmtId="0" fontId="2" fillId="0" borderId="0" xfId="0" applyFont="1" applyAlignment="1" applyProtection="1">
      <alignment/>
      <protection/>
    </xf>
    <xf numFmtId="203" fontId="3" fillId="0" borderId="11" xfId="0" applyNumberFormat="1" applyFont="1" applyFill="1" applyBorder="1" applyAlignment="1" applyProtection="1">
      <alignment horizontal="right" wrapText="1"/>
      <protection locked="0"/>
    </xf>
    <xf numFmtId="202" fontId="3" fillId="0" borderId="11" xfId="0" applyNumberFormat="1" applyFont="1" applyFill="1" applyBorder="1" applyAlignment="1" applyProtection="1">
      <alignment horizontal="right" wrapText="1"/>
      <protection locked="0"/>
    </xf>
    <xf numFmtId="0" fontId="0" fillId="0" borderId="19" xfId="0" applyBorder="1" applyAlignment="1">
      <alignment horizontal="center"/>
    </xf>
    <xf numFmtId="0" fontId="2" fillId="0" borderId="25" xfId="0" applyFont="1" applyBorder="1" applyAlignment="1">
      <alignment horizontal="center"/>
    </xf>
    <xf numFmtId="0" fontId="14" fillId="0" borderId="0" xfId="0" applyFont="1" applyBorder="1" applyAlignment="1">
      <alignment horizontal="center" vertical="center"/>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0" xfId="0" applyFont="1" applyAlignment="1">
      <alignment horizontal="left"/>
    </xf>
    <xf numFmtId="0" fontId="7" fillId="35" borderId="19" xfId="0" applyFont="1" applyFill="1" applyBorder="1" applyAlignment="1">
      <alignment horizontal="center" vertical="center" wrapText="1"/>
    </xf>
    <xf numFmtId="0" fontId="0" fillId="35" borderId="19" xfId="0" applyFont="1" applyFill="1" applyBorder="1" applyAlignment="1">
      <alignment horizontal="center" vertical="center"/>
    </xf>
    <xf numFmtId="0" fontId="1" fillId="0" borderId="19" xfId="0" applyFont="1" applyFill="1" applyBorder="1" applyAlignment="1" applyProtection="1">
      <alignment horizontal="center"/>
      <protection locked="0"/>
    </xf>
    <xf numFmtId="0" fontId="0" fillId="0" borderId="19" xfId="0" applyFill="1" applyBorder="1" applyAlignment="1" applyProtection="1">
      <alignment horizontal="center"/>
      <protection locked="0"/>
    </xf>
    <xf numFmtId="199" fontId="1" fillId="0" borderId="19" xfId="0" applyNumberFormat="1" applyFont="1" applyFill="1" applyBorder="1" applyAlignment="1" applyProtection="1">
      <alignment horizontal="center"/>
      <protection locked="0"/>
    </xf>
    <xf numFmtId="199" fontId="0" fillId="0" borderId="19" xfId="0" applyNumberFormat="1" applyFill="1" applyBorder="1" applyAlignment="1" applyProtection="1">
      <alignment horizontal="center"/>
      <protection locked="0"/>
    </xf>
    <xf numFmtId="0" fontId="15" fillId="0" borderId="0" xfId="0" applyFont="1" applyAlignment="1">
      <alignment horizontal="right"/>
    </xf>
    <xf numFmtId="0" fontId="12" fillId="47" borderId="37" xfId="0" applyFont="1" applyFill="1" applyBorder="1" applyAlignment="1">
      <alignment horizont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5" fillId="0" borderId="38" xfId="0" applyFont="1" applyBorder="1" applyAlignment="1">
      <alignment horizontal="left"/>
    </xf>
    <xf numFmtId="0" fontId="2" fillId="0" borderId="38" xfId="0" applyFont="1" applyBorder="1" applyAlignment="1">
      <alignment horizontal="left"/>
    </xf>
    <xf numFmtId="0" fontId="2" fillId="0" borderId="34" xfId="0" applyFont="1" applyFill="1" applyBorder="1" applyAlignment="1" applyProtection="1">
      <alignment horizontal="left" vertical="center" wrapText="1"/>
      <protection hidden="1"/>
    </xf>
    <xf numFmtId="0" fontId="2" fillId="0" borderId="35" xfId="0" applyFont="1" applyFill="1" applyBorder="1" applyAlignment="1" applyProtection="1">
      <alignment horizontal="left" vertical="center" wrapText="1"/>
      <protection hidden="1"/>
    </xf>
    <xf numFmtId="0" fontId="2" fillId="0" borderId="36" xfId="0" applyFont="1" applyFill="1" applyBorder="1" applyAlignment="1" applyProtection="1">
      <alignment horizontal="left" vertical="center" wrapText="1"/>
      <protection hidden="1"/>
    </xf>
    <xf numFmtId="0" fontId="1" fillId="35" borderId="19" xfId="0" applyFont="1" applyFill="1" applyBorder="1" applyAlignment="1">
      <alignment horizontal="center"/>
    </xf>
    <xf numFmtId="0" fontId="0" fillId="35" borderId="19" xfId="0" applyFill="1" applyBorder="1" applyAlignment="1">
      <alignment horizontal="center"/>
    </xf>
    <xf numFmtId="199" fontId="1" fillId="35" borderId="19" xfId="0" applyNumberFormat="1" applyFont="1" applyFill="1" applyBorder="1" applyAlignment="1">
      <alignment horizontal="center"/>
    </xf>
    <xf numFmtId="199" fontId="0" fillId="35" borderId="19" xfId="0" applyNumberFormat="1" applyFill="1" applyBorder="1" applyAlignment="1">
      <alignment horizontal="center"/>
    </xf>
    <xf numFmtId="0" fontId="2" fillId="0" borderId="25" xfId="0" applyFont="1" applyBorder="1" applyAlignment="1" applyProtection="1">
      <alignment horizontal="center"/>
      <protection hidden="1"/>
    </xf>
    <xf numFmtId="0" fontId="2" fillId="35" borderId="19" xfId="0" applyFont="1" applyFill="1" applyBorder="1" applyAlignment="1">
      <alignment horizontal="center" vertical="center" wrapText="1"/>
    </xf>
    <xf numFmtId="0" fontId="15" fillId="0" borderId="0" xfId="0" applyFont="1" applyAlignment="1" applyProtection="1">
      <alignment horizontal="right"/>
      <protection hidden="1"/>
    </xf>
    <xf numFmtId="0" fontId="14" fillId="0" borderId="0" xfId="0" applyFont="1" applyBorder="1" applyAlignment="1" applyProtection="1">
      <alignment horizontal="center" vertical="center"/>
      <protection hidden="1"/>
    </xf>
    <xf numFmtId="0" fontId="18" fillId="47" borderId="19" xfId="0" applyFont="1" applyFill="1" applyBorder="1" applyAlignment="1" applyProtection="1">
      <alignment horizontal="left" vertical="center"/>
      <protection hidden="1"/>
    </xf>
    <xf numFmtId="0" fontId="18" fillId="47" borderId="39" xfId="0" applyFont="1" applyFill="1" applyBorder="1" applyAlignment="1" applyProtection="1">
      <alignment horizontal="left" vertical="center"/>
      <protection hidden="1"/>
    </xf>
    <xf numFmtId="0" fontId="18" fillId="47" borderId="25" xfId="0" applyFont="1" applyFill="1" applyBorder="1" applyAlignment="1" applyProtection="1">
      <alignment horizontal="left" vertical="center"/>
      <protection hidden="1"/>
    </xf>
    <xf numFmtId="0" fontId="18" fillId="47" borderId="40" xfId="0" applyFont="1" applyFill="1" applyBorder="1" applyAlignment="1" applyProtection="1">
      <alignment horizontal="left" vertical="center"/>
      <protection hidden="1"/>
    </xf>
    <xf numFmtId="0" fontId="18" fillId="47" borderId="41" xfId="0" applyFont="1" applyFill="1" applyBorder="1" applyAlignment="1" applyProtection="1">
      <alignment horizontal="left" vertical="center"/>
      <protection hidden="1"/>
    </xf>
    <xf numFmtId="0" fontId="18" fillId="47" borderId="42" xfId="0" applyFont="1" applyFill="1" applyBorder="1" applyAlignment="1" applyProtection="1">
      <alignment horizontal="left" vertical="center"/>
      <protection hidden="1"/>
    </xf>
    <xf numFmtId="0" fontId="18" fillId="47" borderId="43" xfId="0" applyFont="1" applyFill="1" applyBorder="1" applyAlignment="1" applyProtection="1">
      <alignment horizontal="left" vertical="center"/>
      <protection hidden="1"/>
    </xf>
    <xf numFmtId="0" fontId="5" fillId="0" borderId="38" xfId="0" applyFont="1" applyBorder="1" applyAlignment="1" applyProtection="1">
      <alignment horizontal="left" vertical="center" wrapText="1"/>
      <protection hidden="1"/>
    </xf>
    <xf numFmtId="0" fontId="26" fillId="0" borderId="0" xfId="0" applyFont="1" applyBorder="1" applyAlignment="1">
      <alignment horizontal="center" vertical="center"/>
    </xf>
    <xf numFmtId="0" fontId="8" fillId="41" borderId="20" xfId="0" applyFont="1" applyFill="1" applyBorder="1" applyAlignment="1">
      <alignment horizontal="center" vertical="top" wrapText="1"/>
    </xf>
    <xf numFmtId="0" fontId="3" fillId="37" borderId="20" xfId="0" applyFont="1" applyFill="1" applyBorder="1" applyAlignment="1">
      <alignment horizontal="justify" vertical="center" wrapText="1"/>
    </xf>
    <xf numFmtId="0" fontId="0" fillId="0" borderId="20" xfId="0" applyBorder="1" applyAlignment="1">
      <alignment wrapText="1"/>
    </xf>
    <xf numFmtId="0" fontId="2" fillId="33" borderId="44" xfId="0" applyFont="1" applyFill="1" applyBorder="1" applyAlignment="1">
      <alignment/>
    </xf>
    <xf numFmtId="0" fontId="0" fillId="0" borderId="30" xfId="0" applyBorder="1" applyAlignment="1">
      <alignment/>
    </xf>
    <xf numFmtId="0" fontId="12" fillId="47" borderId="45" xfId="0" applyFont="1" applyFill="1" applyBorder="1" applyAlignment="1">
      <alignment horizontal="left"/>
    </xf>
    <xf numFmtId="0" fontId="12" fillId="47" borderId="23" xfId="0" applyFont="1" applyFill="1" applyBorder="1" applyAlignment="1">
      <alignment horizontal="left"/>
    </xf>
    <xf numFmtId="0" fontId="12" fillId="47" borderId="46" xfId="0" applyFont="1" applyFill="1" applyBorder="1" applyAlignment="1">
      <alignment horizontal="left"/>
    </xf>
    <xf numFmtId="0" fontId="12" fillId="44" borderId="47" xfId="0" applyFont="1" applyFill="1" applyBorder="1" applyAlignment="1">
      <alignment horizontal="left" vertical="top" wrapText="1"/>
    </xf>
    <xf numFmtId="0" fontId="12" fillId="44" borderId="48" xfId="0" applyFont="1" applyFill="1" applyBorder="1" applyAlignment="1">
      <alignment horizontal="left" vertical="top" wrapText="1"/>
    </xf>
    <xf numFmtId="0" fontId="12" fillId="44" borderId="49" xfId="0" applyFont="1" applyFill="1" applyBorder="1" applyAlignment="1">
      <alignment horizontal="left" vertical="top" wrapText="1"/>
    </xf>
    <xf numFmtId="0" fontId="8" fillId="41" borderId="31" xfId="0" applyFont="1" applyFill="1" applyBorder="1" applyAlignment="1">
      <alignment horizontal="left" vertical="top" wrapText="1"/>
    </xf>
    <xf numFmtId="0" fontId="8" fillId="41" borderId="32" xfId="0" applyFont="1" applyFill="1" applyBorder="1" applyAlignment="1">
      <alignment horizontal="left" vertical="top" wrapText="1"/>
    </xf>
    <xf numFmtId="0" fontId="0" fillId="0" borderId="0" xfId="0" applyAlignment="1">
      <alignment/>
    </xf>
    <xf numFmtId="197" fontId="3" fillId="0" borderId="44" xfId="0" applyNumberFormat="1" applyFont="1" applyFill="1" applyBorder="1" applyAlignment="1" applyProtection="1">
      <alignment/>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9"/>
      </font>
      <fill>
        <patternFill>
          <bgColor indexed="10"/>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i val="0"/>
        <color indexed="10"/>
      </font>
    </dxf>
    <dxf>
      <font>
        <color indexed="9"/>
      </font>
      <fill>
        <patternFill>
          <bgColor indexed="10"/>
        </patternFill>
      </fill>
    </dxf>
    <dxf>
      <font>
        <b/>
        <i val="0"/>
        <color indexed="10"/>
      </font>
      <fill>
        <patternFill patternType="solid">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dxf>
    <dxf>
      <font>
        <color indexed="9"/>
      </font>
      <fill>
        <patternFill>
          <bgColor indexed="10"/>
        </patternFill>
      </fill>
    </dxf>
    <dxf>
      <font>
        <b/>
        <i val="0"/>
        <color indexed="10"/>
      </font>
      <fill>
        <patternFill>
          <bgColor indexed="47"/>
        </patternFill>
      </fill>
    </dxf>
    <dxf>
      <font>
        <name val="Cambria"/>
        <color theme="0"/>
      </font>
      <fill>
        <patternFill>
          <bgColor indexed="10"/>
        </patternFill>
      </fill>
    </dxf>
    <dxf>
      <font>
        <name val="Cambria"/>
        <color theme="0"/>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10"/>
      </font>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patternType="solid">
          <bgColor indexed="10"/>
        </patternFill>
      </fill>
    </dxf>
    <dxf>
      <font>
        <color indexed="9"/>
      </font>
      <fill>
        <patternFill patternType="solid">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fill>
        <patternFill patternType="none">
          <bgColor indexed="65"/>
        </patternFill>
      </fill>
    </dxf>
    <dxf>
      <font>
        <color indexed="10"/>
      </font>
    </dxf>
    <dxf>
      <font>
        <color indexed="10"/>
      </font>
    </dxf>
    <dxf>
      <font>
        <color indexed="10"/>
      </font>
    </dxf>
    <dxf>
      <font>
        <color indexed="10"/>
      </font>
      <fill>
        <patternFill patternType="none">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auto="1"/>
      </font>
    </dxf>
    <dxf>
      <font>
        <color indexed="10"/>
      </font>
    </dxf>
    <dxf>
      <font>
        <color indexed="10"/>
      </font>
    </dxf>
    <dxf>
      <font>
        <color indexed="10"/>
      </font>
    </dxf>
    <dxf>
      <font>
        <color indexed="8"/>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Loop Transmission Bode Plot - Magnitude</a:t>
            </a:r>
          </a:p>
        </c:rich>
      </c:tx>
      <c:layout>
        <c:manualLayout>
          <c:xMode val="factor"/>
          <c:yMode val="factor"/>
          <c:x val="-0.006"/>
          <c:y val="0"/>
        </c:manualLayout>
      </c:layout>
      <c:spPr>
        <a:noFill/>
        <a:ln>
          <a:noFill/>
        </a:ln>
      </c:spPr>
    </c:title>
    <c:plotArea>
      <c:layout>
        <c:manualLayout>
          <c:xMode val="edge"/>
          <c:yMode val="edge"/>
          <c:x val="0.02825"/>
          <c:y val="0.074"/>
          <c:w val="0.9535"/>
          <c:h val="0.88225"/>
        </c:manualLayout>
      </c:layout>
      <c:scatterChart>
        <c:scatterStyle val="smoothMarker"/>
        <c:varyColors val="0"/>
        <c:ser>
          <c:idx val="0"/>
          <c:order val="0"/>
          <c:tx>
            <c:strRef>
              <c:f>'Bode Plot Data'!$O$14</c:f>
              <c:strCache>
                <c:ptCount val="1"/>
                <c:pt idx="0">
                  <c:v>IT2(s)I (dB)</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ptCount val="126"/>
                <c:pt idx="0">
                  <c:v>0.1</c:v>
                </c:pt>
                <c:pt idx="1">
                  <c:v>0.10964781961431852</c:v>
                </c:pt>
                <c:pt idx="2">
                  <c:v>0.12022644346174131</c:v>
                </c:pt>
                <c:pt idx="3">
                  <c:v>0.13182567385564076</c:v>
                </c:pt>
                <c:pt idx="4">
                  <c:v>0.14454397707459282</c:v>
                </c:pt>
                <c:pt idx="5">
                  <c:v>0.15848931924611143</c:v>
                </c:pt>
                <c:pt idx="6">
                  <c:v>0.17378008287493765</c:v>
                </c:pt>
                <c:pt idx="7">
                  <c:v>0.19054607179632485</c:v>
                </c:pt>
                <c:pt idx="8">
                  <c:v>0.20892961308540411</c:v>
                </c:pt>
                <c:pt idx="9">
                  <c:v>0.22908676527677752</c:v>
                </c:pt>
                <c:pt idx="10">
                  <c:v>0.25118864315095824</c:v>
                </c:pt>
                <c:pt idx="11">
                  <c:v>0.2754228703338169</c:v>
                </c:pt>
                <c:pt idx="12">
                  <c:v>0.30199517204020193</c:v>
                </c:pt>
                <c:pt idx="13">
                  <c:v>0.33113112148259144</c:v>
                </c:pt>
                <c:pt idx="14">
                  <c:v>0.36307805477010174</c:v>
                </c:pt>
                <c:pt idx="15">
                  <c:v>0.3981071705534977</c:v>
                </c:pt>
                <c:pt idx="16">
                  <c:v>0.4365158322401665</c:v>
                </c:pt>
                <c:pt idx="17">
                  <c:v>0.478630092322639</c:v>
                </c:pt>
                <c:pt idx="18">
                  <c:v>0.5248074602497733</c:v>
                </c:pt>
                <c:pt idx="19">
                  <c:v>0.5754399373371578</c:v>
                </c:pt>
                <c:pt idx="20">
                  <c:v>0.6309573444801942</c:v>
                </c:pt>
                <c:pt idx="21">
                  <c:v>0.6918309709189376</c:v>
                </c:pt>
                <c:pt idx="22">
                  <c:v>0.7585775750291851</c:v>
                </c:pt>
                <c:pt idx="23">
                  <c:v>0.8317637711026725</c:v>
                </c:pt>
                <c:pt idx="24">
                  <c:v>0.9120108393559114</c:v>
                </c:pt>
                <c:pt idx="25">
                  <c:v>1.000000000000002</c:v>
                </c:pt>
                <c:pt idx="26">
                  <c:v>1.0964781961431873</c:v>
                </c:pt>
                <c:pt idx="27">
                  <c:v>1.2022644346174156</c:v>
                </c:pt>
                <c:pt idx="28">
                  <c:v>1.3182567385564101</c:v>
                </c:pt>
                <c:pt idx="29">
                  <c:v>1.445439770745931</c:v>
                </c:pt>
                <c:pt idx="30">
                  <c:v>1.5848931924611174</c:v>
                </c:pt>
                <c:pt idx="31">
                  <c:v>1.7378008287493798</c:v>
                </c:pt>
                <c:pt idx="32">
                  <c:v>1.9054607179632521</c:v>
                </c:pt>
                <c:pt idx="33">
                  <c:v>2.089296130854045</c:v>
                </c:pt>
                <c:pt idx="34">
                  <c:v>2.2908676527677794</c:v>
                </c:pt>
                <c:pt idx="35">
                  <c:v>2.5118864315095872</c:v>
                </c:pt>
                <c:pt idx="36">
                  <c:v>2.7542287033381743</c:v>
                </c:pt>
                <c:pt idx="37">
                  <c:v>3.019951720402025</c:v>
                </c:pt>
                <c:pt idx="38">
                  <c:v>3.311311214825921</c:v>
                </c:pt>
                <c:pt idx="39">
                  <c:v>3.6307805477010247</c:v>
                </c:pt>
                <c:pt idx="40">
                  <c:v>3.981071705534985</c:v>
                </c:pt>
                <c:pt idx="41">
                  <c:v>4.3651583224016735</c:v>
                </c:pt>
                <c:pt idx="42">
                  <c:v>4.786300923226399</c:v>
                </c:pt>
                <c:pt idx="43">
                  <c:v>5.248074602497743</c:v>
                </c:pt>
                <c:pt idx="44">
                  <c:v>5.754399373371588</c:v>
                </c:pt>
                <c:pt idx="45">
                  <c:v>6.309573444801954</c:v>
                </c:pt>
                <c:pt idx="46">
                  <c:v>6.918309709189389</c:v>
                </c:pt>
                <c:pt idx="47">
                  <c:v>7.585775750291864</c:v>
                </c:pt>
                <c:pt idx="48">
                  <c:v>8.31763771102674</c:v>
                </c:pt>
                <c:pt idx="49">
                  <c:v>9.12010839355913</c:v>
                </c:pt>
                <c:pt idx="50">
                  <c:v>10.000000000000037</c:v>
                </c:pt>
                <c:pt idx="51">
                  <c:v>10.964781961431893</c:v>
                </c:pt>
                <c:pt idx="52">
                  <c:v>12.022644346174177</c:v>
                </c:pt>
                <c:pt idx="53">
                  <c:v>13.182567385564125</c:v>
                </c:pt>
                <c:pt idx="54">
                  <c:v>14.454397707459336</c:v>
                </c:pt>
                <c:pt idx="55">
                  <c:v>15.848931924611202</c:v>
                </c:pt>
                <c:pt idx="56">
                  <c:v>17.37800828749383</c:v>
                </c:pt>
                <c:pt idx="57">
                  <c:v>19.05460717963256</c:v>
                </c:pt>
                <c:pt idx="58">
                  <c:v>20.892961308540492</c:v>
                </c:pt>
                <c:pt idx="59">
                  <c:v>22.90867652767784</c:v>
                </c:pt>
                <c:pt idx="60">
                  <c:v>25.118864315095923</c:v>
                </c:pt>
                <c:pt idx="61">
                  <c:v>27.5422870333818</c:v>
                </c:pt>
                <c:pt idx="62">
                  <c:v>30.199517204020314</c:v>
                </c:pt>
                <c:pt idx="63">
                  <c:v>33.113112148259276</c:v>
                </c:pt>
                <c:pt idx="64">
                  <c:v>36.30780547701032</c:v>
                </c:pt>
                <c:pt idx="65">
                  <c:v>39.81071705534993</c:v>
                </c:pt>
                <c:pt idx="66">
                  <c:v>43.651583224016825</c:v>
                </c:pt>
                <c:pt idx="67">
                  <c:v>47.86300923226409</c:v>
                </c:pt>
                <c:pt idx="68">
                  <c:v>52.48074602497754</c:v>
                </c:pt>
                <c:pt idx="69">
                  <c:v>57.54399373371601</c:v>
                </c:pt>
                <c:pt idx="70">
                  <c:v>63.09573444801968</c:v>
                </c:pt>
                <c:pt idx="71">
                  <c:v>69.18309709189404</c:v>
                </c:pt>
                <c:pt idx="72">
                  <c:v>75.85775750291882</c:v>
                </c:pt>
                <c:pt idx="73">
                  <c:v>83.17637711026758</c:v>
                </c:pt>
                <c:pt idx="74">
                  <c:v>91.20108393559151</c:v>
                </c:pt>
                <c:pt idx="75">
                  <c:v>100.0000000000006</c:v>
                </c:pt>
                <c:pt idx="76">
                  <c:v>109.64781961431916</c:v>
                </c:pt>
                <c:pt idx="77">
                  <c:v>120.22644346174202</c:v>
                </c:pt>
                <c:pt idx="78">
                  <c:v>131.82567385564153</c:v>
                </c:pt>
                <c:pt idx="79">
                  <c:v>144.54397707459367</c:v>
                </c:pt>
                <c:pt idx="80">
                  <c:v>158.48931924611236</c:v>
                </c:pt>
                <c:pt idx="81">
                  <c:v>173.78008287493867</c:v>
                </c:pt>
                <c:pt idx="82">
                  <c:v>190.54607179632598</c:v>
                </c:pt>
                <c:pt idx="83">
                  <c:v>208.92961308540535</c:v>
                </c:pt>
                <c:pt idx="84">
                  <c:v>229.08676527677886</c:v>
                </c:pt>
                <c:pt idx="85">
                  <c:v>251.18864315095973</c:v>
                </c:pt>
                <c:pt idx="86">
                  <c:v>275.42287033381854</c:v>
                </c:pt>
                <c:pt idx="87">
                  <c:v>301.9951720402037</c:v>
                </c:pt>
                <c:pt idx="88">
                  <c:v>331.1311214825934</c:v>
                </c:pt>
                <c:pt idx="89">
                  <c:v>363.0780547701039</c:v>
                </c:pt>
                <c:pt idx="90">
                  <c:v>398.1071705535001</c:v>
                </c:pt>
                <c:pt idx="91">
                  <c:v>436.5158322401691</c:v>
                </c:pt>
                <c:pt idx="92">
                  <c:v>478.6300923226418</c:v>
                </c:pt>
                <c:pt idx="93">
                  <c:v>524.8074602497765</c:v>
                </c:pt>
                <c:pt idx="94">
                  <c:v>575.4399373371612</c:v>
                </c:pt>
                <c:pt idx="95">
                  <c:v>630.9573444801979</c:v>
                </c:pt>
                <c:pt idx="96">
                  <c:v>691.8309709189416</c:v>
                </c:pt>
                <c:pt idx="97">
                  <c:v>758.5775750291895</c:v>
                </c:pt>
                <c:pt idx="98">
                  <c:v>831.7637711026773</c:v>
                </c:pt>
                <c:pt idx="99">
                  <c:v>912.0108393559167</c:v>
                </c:pt>
                <c:pt idx="100">
                  <c:v>1000.0000000000077</c:v>
                </c:pt>
                <c:pt idx="101">
                  <c:v>1096.4781961431936</c:v>
                </c:pt>
                <c:pt idx="102">
                  <c:v>1202.2644346174225</c:v>
                </c:pt>
                <c:pt idx="103">
                  <c:v>1318.2567385564178</c:v>
                </c:pt>
                <c:pt idx="104">
                  <c:v>1445.4397707459393</c:v>
                </c:pt>
                <c:pt idx="105">
                  <c:v>1584.8931924611265</c:v>
                </c:pt>
                <c:pt idx="106">
                  <c:v>1737.80082874939</c:v>
                </c:pt>
                <c:pt idx="107">
                  <c:v>1905.460717963263</c:v>
                </c:pt>
                <c:pt idx="108">
                  <c:v>2089.296130854057</c:v>
                </c:pt>
                <c:pt idx="109">
                  <c:v>2290.8676527677926</c:v>
                </c:pt>
                <c:pt idx="110">
                  <c:v>2511.8864315096016</c:v>
                </c:pt>
                <c:pt idx="111">
                  <c:v>2754.2287033381904</c:v>
                </c:pt>
                <c:pt idx="112">
                  <c:v>3019.9517204020426</c:v>
                </c:pt>
                <c:pt idx="113">
                  <c:v>3311.31121482594</c:v>
                </c:pt>
                <c:pt idx="114">
                  <c:v>3630.7805477010456</c:v>
                </c:pt>
                <c:pt idx="115">
                  <c:v>3981.0717055350083</c:v>
                </c:pt>
                <c:pt idx="116">
                  <c:v>4365.1583224016995</c:v>
                </c:pt>
                <c:pt idx="117">
                  <c:v>4786.300923226428</c:v>
                </c:pt>
                <c:pt idx="118">
                  <c:v>5248.074602497774</c:v>
                </c:pt>
                <c:pt idx="119">
                  <c:v>5754.3993733716225</c:v>
                </c:pt>
                <c:pt idx="120">
                  <c:v>6309.573444801991</c:v>
                </c:pt>
                <c:pt idx="121">
                  <c:v>6918.30970918943</c:v>
                </c:pt>
                <c:pt idx="122">
                  <c:v>7585.775750291909</c:v>
                </c:pt>
                <c:pt idx="123">
                  <c:v>8317.63771102679</c:v>
                </c:pt>
                <c:pt idx="124">
                  <c:v>9120.108393559185</c:v>
                </c:pt>
                <c:pt idx="125">
                  <c:v>10000.000000000096</c:v>
                </c:pt>
              </c:numCache>
            </c:numRef>
          </c:xVal>
          <c:yVal>
            <c:numRef>
              <c:f>'Bode Plot Data'!$O$15:$O$140</c:f>
              <c:numCache>
                <c:ptCount val="126"/>
                <c:pt idx="0">
                  <c:v>43.80001352031833</c:v>
                </c:pt>
                <c:pt idx="1">
                  <c:v>42.99740348572363</c:v>
                </c:pt>
                <c:pt idx="2">
                  <c:v>42.19426799717513</c:v>
                </c:pt>
                <c:pt idx="3">
                  <c:v>41.390501865521436</c:v>
                </c:pt>
                <c:pt idx="4">
                  <c:v>40.585979107589836</c:v>
                </c:pt>
                <c:pt idx="5">
                  <c:v>39.78054895193142</c:v>
                </c:pt>
                <c:pt idx="6">
                  <c:v>38.97403112871376</c:v>
                </c:pt>
                <c:pt idx="7">
                  <c:v>38.16621033835096</c:v>
                </c:pt>
                <c:pt idx="8">
                  <c:v>37.35682978853583</c:v>
                </c:pt>
                <c:pt idx="9">
                  <c:v>36.54558368989266</c:v>
                </c:pt>
                <c:pt idx="10">
                  <c:v>35.73210860995072</c:v>
                </c:pt>
                <c:pt idx="11">
                  <c:v>34.915973608341716</c:v>
                </c:pt>
                <c:pt idx="12">
                  <c:v>34.09666911951936</c:v>
                </c:pt>
                <c:pt idx="13">
                  <c:v>33.27359462137802</c:v>
                </c:pt>
                <c:pt idx="14">
                  <c:v>32.4460452394635</c:v>
                </c:pt>
                <c:pt idx="15">
                  <c:v>31.61319759951929</c:v>
                </c:pt>
                <c:pt idx="16">
                  <c:v>30.77409546930514</c:v>
                </c:pt>
                <c:pt idx="17">
                  <c:v>29.927636036287517</c:v>
                </c:pt>
                <c:pt idx="18">
                  <c:v>29.072558058286738</c:v>
                </c:pt>
                <c:pt idx="19">
                  <c:v>28.20743359570933</c:v>
                </c:pt>
                <c:pt idx="20">
                  <c:v>27.330665562804136</c:v>
                </c:pt>
                <c:pt idx="21">
                  <c:v>26.44049386655812</c:v>
                </c:pt>
                <c:pt idx="22">
                  <c:v>25.535013338052988</c:v>
                </c:pt>
                <c:pt idx="23">
                  <c:v>24.612206855734463</c:v>
                </c:pt>
                <c:pt idx="24">
                  <c:v>23.6699968223812</c:v>
                </c:pt>
                <c:pt idx="25">
                  <c:v>22.70631727977061</c:v>
                </c:pt>
                <c:pt idx="26">
                  <c:v>21.719207258938233</c:v>
                </c:pt>
                <c:pt idx="27">
                  <c:v>20.70692342654127</c:v>
                </c:pt>
                <c:pt idx="28">
                  <c:v>19.668066876663133</c:v>
                </c:pt>
                <c:pt idx="29">
                  <c:v>18.601715493350238</c:v>
                </c:pt>
                <c:pt idx="30">
                  <c:v>17.50755039144846</c:v>
                </c:pt>
                <c:pt idx="31">
                  <c:v>16.38596335498246</c:v>
                </c:pt>
                <c:pt idx="32">
                  <c:v>15.23813259097266</c:v>
                </c:pt>
                <c:pt idx="33">
                  <c:v>14.066056703182001</c:v>
                </c:pt>
                <c:pt idx="34">
                  <c:v>12.872541143768743</c:v>
                </c:pt>
                <c:pt idx="35">
                  <c:v>11.66113655928724</c:v>
                </c:pt>
                <c:pt idx="36">
                  <c:v>10.436033239802223</c:v>
                </c:pt>
                <c:pt idx="37">
                  <c:v>9.201919367301295</c:v>
                </c:pt>
                <c:pt idx="38">
                  <c:v>7.963812572384798</c:v>
                </c:pt>
                <c:pt idx="39">
                  <c:v>6.726874715166247</c:v>
                </c:pt>
                <c:pt idx="40">
                  <c:v>5.496219496840534</c:v>
                </c:pt>
                <c:pt idx="41">
                  <c:v>4.276722207887466</c:v>
                </c:pt>
                <c:pt idx="42">
                  <c:v>3.072841021329337</c:v>
                </c:pt>
                <c:pt idx="43">
                  <c:v>1.888459615989375</c:v>
                </c:pt>
                <c:pt idx="44">
                  <c:v>0.7267609756664002</c:v>
                </c:pt>
                <c:pt idx="45">
                  <c:v>-0.4098588041155464</c:v>
                </c:pt>
                <c:pt idx="46">
                  <c:v>-1.5198304904743316</c:v>
                </c:pt>
                <c:pt idx="47">
                  <c:v>-2.6024034594273187</c:v>
                </c:pt>
                <c:pt idx="48">
                  <c:v>-3.657592320431813</c:v>
                </c:pt>
                <c:pt idx="49">
                  <c:v>-4.686086451923391</c:v>
                </c:pt>
                <c:pt idx="50">
                  <c:v>-5.689134093193168</c:v>
                </c:pt>
                <c:pt idx="51">
                  <c:v>-6.668414205007678</c:v>
                </c:pt>
                <c:pt idx="52">
                  <c:v>-7.625908715022116</c:v>
                </c:pt>
                <c:pt idx="53">
                  <c:v>-8.563785454586599</c:v>
                </c:pt>
                <c:pt idx="54">
                  <c:v>-9.484298845148853</c:v>
                </c:pt>
                <c:pt idx="55">
                  <c:v>-10.389712005772264</c:v>
                </c:pt>
                <c:pt idx="56">
                  <c:v>-11.282241034136442</c:v>
                </c:pt>
                <c:pt idx="57">
                  <c:v>-12.164020082320537</c:v>
                </c:pt>
                <c:pt idx="58">
                  <c:v>-13.037084564483166</c:v>
                </c:pt>
                <c:pt idx="59">
                  <c:v>-13.903369277943742</c:v>
                </c:pt>
                <c:pt idx="60">
                  <c:v>-14.764718190827637</c:v>
                </c:pt>
                <c:pt idx="61">
                  <c:v>-15.622902936682749</c:v>
                </c:pt>
                <c:pt idx="62">
                  <c:v>-16.47964747886309</c:v>
                </c:pt>
                <c:pt idx="63">
                  <c:v>-17.336656831127385</c:v>
                </c:pt>
                <c:pt idx="64">
                  <c:v>-18.195648057153534</c:v>
                </c:pt>
                <c:pt idx="65">
                  <c:v>-19.05838196847966</c:v>
                </c:pt>
                <c:pt idx="66">
                  <c:v>-19.926693973193473</c:v>
                </c:pt>
                <c:pt idx="67">
                  <c:v>-20.8025223935676</c:v>
                </c:pt>
                <c:pt idx="68">
                  <c:v>-21.68793228771274</c:v>
                </c:pt>
                <c:pt idx="69">
                  <c:v>-22.585132421427268</c:v>
                </c:pt>
                <c:pt idx="70">
                  <c:v>-23.49648261870437</c:v>
                </c:pt>
                <c:pt idx="71">
                  <c:v>-24.42448839244525</c:v>
                </c:pt>
                <c:pt idx="72">
                  <c:v>-25.371779686843556</c:v>
                </c:pt>
                <c:pt idx="73">
                  <c:v>-26.34107095167405</c:v>
                </c:pt>
                <c:pt idx="74">
                  <c:v>-27.335100819840747</c:v>
                </c:pt>
                <c:pt idx="75">
                  <c:v>-28.356551512785067</c:v>
                </c:pt>
                <c:pt idx="76">
                  <c:v>-29.407950739010143</c:v>
                </c:pt>
                <c:pt idx="77">
                  <c:v>-30.49156201861465</c:v>
                </c:pt>
                <c:pt idx="78">
                  <c:v>-31.609272511557975</c:v>
                </c:pt>
                <c:pt idx="79">
                  <c:v>-32.7624897696449</c:v>
                </c:pt>
                <c:pt idx="80">
                  <c:v>-33.9520595558912</c:v>
                </c:pt>
                <c:pt idx="81">
                  <c:v>-35.17821542119546</c:v>
                </c:pt>
                <c:pt idx="82">
                  <c:v>-36.440567076701086</c:v>
                </c:pt>
                <c:pt idx="83">
                  <c:v>-37.73812938724271</c:v>
                </c:pt>
                <c:pt idx="84">
                  <c:v>-39.069388186899204</c:v>
                </c:pt>
                <c:pt idx="85">
                  <c:v>-40.432394372844854</c:v>
                </c:pt>
                <c:pt idx="86">
                  <c:v>-41.82487486153938</c:v>
                </c:pt>
                <c:pt idx="87">
                  <c:v>-43.24434838631433</c:v>
                </c:pt>
                <c:pt idx="88">
                  <c:v>-44.68823553161059</c:v>
                </c:pt>
                <c:pt idx="89">
                  <c:v>-46.15395514517226</c:v>
                </c:pt>
                <c:pt idx="90">
                  <c:v>-47.63900251154391</c:v>
                </c:pt>
                <c:pt idx="91">
                  <c:v>-49.14100769736329</c:v>
                </c:pt>
                <c:pt idx="92">
                  <c:v>-50.65777484681338</c:v>
                </c:pt>
                <c:pt idx="93">
                  <c:v>-52.18730475142613</c:v>
                </c:pt>
                <c:pt idx="94">
                  <c:v>-53.72780379288442</c:v>
                </c:pt>
                <c:pt idx="95">
                  <c:v>-55.27768252883456</c:v>
                </c:pt>
                <c:pt idx="96">
                  <c:v>-56.83554696253645</c:v>
                </c:pt>
                <c:pt idx="97">
                  <c:v>-58.400185090380134</c:v>
                </c:pt>
                <c:pt idx="98">
                  <c:v>-59.970550795560776</c:v>
                </c:pt>
                <c:pt idx="99">
                  <c:v>-61.54574664212467</c:v>
                </c:pt>
                <c:pt idx="100">
                  <c:v>-63.12500667109059</c:v>
                </c:pt>
                <c:pt idx="101">
                  <c:v>-64.70767992985125</c:v>
                </c:pt>
                <c:pt idx="102">
                  <c:v>-66.29321517936971</c:v>
                </c:pt>
                <c:pt idx="103">
                  <c:v>-67.88114701243822</c:v>
                </c:pt>
                <c:pt idx="104">
                  <c:v>-69.47108346779328</c:v>
                </c:pt>
                <c:pt idx="105">
                  <c:v>-71.06269512575606</c:v>
                </c:pt>
                <c:pt idx="106">
                  <c:v>-72.6557056090411</c:v>
                </c:pt>
                <c:pt idx="107">
                  <c:v>-74.24988337714308</c:v>
                </c:pt>
                <c:pt idx="108">
                  <c:v>-75.84503468611322</c:v>
                </c:pt>
                <c:pt idx="109">
                  <c:v>-77.44099758136493</c:v>
                </c:pt>
                <c:pt idx="110">
                  <c:v>-79.03763679486387</c:v>
                </c:pt>
                <c:pt idx="111">
                  <c:v>-80.6348394264121</c:v>
                </c:pt>
                <c:pt idx="112">
                  <c:v>-82.23251129952567</c:v>
                </c:pt>
                <c:pt idx="113">
                  <c:v>-83.83057389413439</c:v>
                </c:pt>
                <c:pt idx="114">
                  <c:v>-85.42896177006034</c:v>
                </c:pt>
                <c:pt idx="115">
                  <c:v>-87.02762040639084</c:v>
                </c:pt>
                <c:pt idx="116">
                  <c:v>-88.62650439213509</c:v>
                </c:pt>
                <c:pt idx="117">
                  <c:v>-90.22557591279494</c:v>
                </c:pt>
                <c:pt idx="118">
                  <c:v>-91.82480348566195</c:v>
                </c:pt>
                <c:pt idx="119">
                  <c:v>-93.42416090379898</c:v>
                </c:pt>
                <c:pt idx="120">
                  <c:v>-95.02362635485056</c:v>
                </c:pt>
                <c:pt idx="121">
                  <c:v>-96.6231816861378</c:v>
                </c:pt>
                <c:pt idx="122">
                  <c:v>-98.22281179203131</c:v>
                </c:pt>
                <c:pt idx="123">
                  <c:v>-99.8225041034474</c:v>
                </c:pt>
                <c:pt idx="124">
                  <c:v>-101.42224816257811</c:v>
                </c:pt>
                <c:pt idx="125">
                  <c:v>-103.02203526871338</c:v>
                </c:pt>
              </c:numCache>
            </c:numRef>
          </c:yVal>
          <c:smooth val="1"/>
        </c:ser>
        <c:axId val="6444936"/>
        <c:axId val="1125929"/>
      </c:scatterChart>
      <c:valAx>
        <c:axId val="6444936"/>
        <c:scaling>
          <c:logBase val="10"/>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Frequency (Hz)</a:t>
                </a:r>
              </a:p>
            </c:rich>
          </c:tx>
          <c:layout>
            <c:manualLayout>
              <c:xMode val="factor"/>
              <c:yMode val="factor"/>
              <c:x val="0.00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125929"/>
        <c:crossesAt val="-120"/>
        <c:crossBetween val="midCat"/>
        <c:dispUnits/>
      </c:valAx>
      <c:valAx>
        <c:axId val="112592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Magnitude (dB)</a:t>
                </a:r>
              </a:p>
            </c:rich>
          </c:tx>
          <c:layout>
            <c:manualLayout>
              <c:xMode val="factor"/>
              <c:yMode val="factor"/>
              <c:x val="0.001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444936"/>
        <c:crossesAt val="0.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Loop Transmission Bode Plot - Phase</a:t>
            </a:r>
          </a:p>
        </c:rich>
      </c:tx>
      <c:layout>
        <c:manualLayout>
          <c:xMode val="factor"/>
          <c:yMode val="factor"/>
          <c:x val="-0.004"/>
          <c:y val="0"/>
        </c:manualLayout>
      </c:layout>
      <c:spPr>
        <a:noFill/>
        <a:ln>
          <a:noFill/>
        </a:ln>
      </c:spPr>
    </c:title>
    <c:plotArea>
      <c:layout>
        <c:manualLayout>
          <c:xMode val="edge"/>
          <c:yMode val="edge"/>
          <c:x val="0.0265"/>
          <c:y val="0.07375"/>
          <c:w val="0.95575"/>
          <c:h val="0.88175"/>
        </c:manualLayout>
      </c:layout>
      <c:scatterChart>
        <c:scatterStyle val="smoothMarker"/>
        <c:varyColors val="0"/>
        <c:ser>
          <c:idx val="0"/>
          <c:order val="0"/>
          <c:tx>
            <c:strRef>
              <c:f>'Bode Plot Data'!$P$14</c:f>
              <c:strCache>
                <c:ptCount val="1"/>
                <c:pt idx="0">
                  <c:v>P(T2(s)) (deg)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ptCount val="126"/>
                <c:pt idx="0">
                  <c:v>0.1</c:v>
                </c:pt>
                <c:pt idx="1">
                  <c:v>0.10964781961431852</c:v>
                </c:pt>
                <c:pt idx="2">
                  <c:v>0.12022644346174131</c:v>
                </c:pt>
                <c:pt idx="3">
                  <c:v>0.13182567385564076</c:v>
                </c:pt>
                <c:pt idx="4">
                  <c:v>0.14454397707459282</c:v>
                </c:pt>
                <c:pt idx="5">
                  <c:v>0.15848931924611143</c:v>
                </c:pt>
                <c:pt idx="6">
                  <c:v>0.17378008287493765</c:v>
                </c:pt>
                <c:pt idx="7">
                  <c:v>0.19054607179632485</c:v>
                </c:pt>
                <c:pt idx="8">
                  <c:v>0.20892961308540411</c:v>
                </c:pt>
                <c:pt idx="9">
                  <c:v>0.22908676527677752</c:v>
                </c:pt>
                <c:pt idx="10">
                  <c:v>0.25118864315095824</c:v>
                </c:pt>
                <c:pt idx="11">
                  <c:v>0.2754228703338169</c:v>
                </c:pt>
                <c:pt idx="12">
                  <c:v>0.30199517204020193</c:v>
                </c:pt>
                <c:pt idx="13">
                  <c:v>0.33113112148259144</c:v>
                </c:pt>
                <c:pt idx="14">
                  <c:v>0.36307805477010174</c:v>
                </c:pt>
                <c:pt idx="15">
                  <c:v>0.3981071705534977</c:v>
                </c:pt>
                <c:pt idx="16">
                  <c:v>0.4365158322401665</c:v>
                </c:pt>
                <c:pt idx="17">
                  <c:v>0.478630092322639</c:v>
                </c:pt>
                <c:pt idx="18">
                  <c:v>0.5248074602497733</c:v>
                </c:pt>
                <c:pt idx="19">
                  <c:v>0.5754399373371578</c:v>
                </c:pt>
                <c:pt idx="20">
                  <c:v>0.6309573444801942</c:v>
                </c:pt>
                <c:pt idx="21">
                  <c:v>0.6918309709189376</c:v>
                </c:pt>
                <c:pt idx="22">
                  <c:v>0.7585775750291851</c:v>
                </c:pt>
                <c:pt idx="23">
                  <c:v>0.8317637711026725</c:v>
                </c:pt>
                <c:pt idx="24">
                  <c:v>0.9120108393559114</c:v>
                </c:pt>
                <c:pt idx="25">
                  <c:v>1.000000000000002</c:v>
                </c:pt>
                <c:pt idx="26">
                  <c:v>1.0964781961431873</c:v>
                </c:pt>
                <c:pt idx="27">
                  <c:v>1.2022644346174156</c:v>
                </c:pt>
                <c:pt idx="28">
                  <c:v>1.3182567385564101</c:v>
                </c:pt>
                <c:pt idx="29">
                  <c:v>1.445439770745931</c:v>
                </c:pt>
                <c:pt idx="30">
                  <c:v>1.5848931924611174</c:v>
                </c:pt>
                <c:pt idx="31">
                  <c:v>1.7378008287493798</c:v>
                </c:pt>
                <c:pt idx="32">
                  <c:v>1.9054607179632521</c:v>
                </c:pt>
                <c:pt idx="33">
                  <c:v>2.089296130854045</c:v>
                </c:pt>
                <c:pt idx="34">
                  <c:v>2.2908676527677794</c:v>
                </c:pt>
                <c:pt idx="35">
                  <c:v>2.5118864315095872</c:v>
                </c:pt>
                <c:pt idx="36">
                  <c:v>2.7542287033381743</c:v>
                </c:pt>
                <c:pt idx="37">
                  <c:v>3.019951720402025</c:v>
                </c:pt>
                <c:pt idx="38">
                  <c:v>3.311311214825921</c:v>
                </c:pt>
                <c:pt idx="39">
                  <c:v>3.6307805477010247</c:v>
                </c:pt>
                <c:pt idx="40">
                  <c:v>3.981071705534985</c:v>
                </c:pt>
                <c:pt idx="41">
                  <c:v>4.3651583224016735</c:v>
                </c:pt>
                <c:pt idx="42">
                  <c:v>4.786300923226399</c:v>
                </c:pt>
                <c:pt idx="43">
                  <c:v>5.248074602497743</c:v>
                </c:pt>
                <c:pt idx="44">
                  <c:v>5.754399373371588</c:v>
                </c:pt>
                <c:pt idx="45">
                  <c:v>6.309573444801954</c:v>
                </c:pt>
                <c:pt idx="46">
                  <c:v>6.918309709189389</c:v>
                </c:pt>
                <c:pt idx="47">
                  <c:v>7.585775750291864</c:v>
                </c:pt>
                <c:pt idx="48">
                  <c:v>8.31763771102674</c:v>
                </c:pt>
                <c:pt idx="49">
                  <c:v>9.12010839355913</c:v>
                </c:pt>
                <c:pt idx="50">
                  <c:v>10.000000000000037</c:v>
                </c:pt>
                <c:pt idx="51">
                  <c:v>10.964781961431893</c:v>
                </c:pt>
                <c:pt idx="52">
                  <c:v>12.022644346174177</c:v>
                </c:pt>
                <c:pt idx="53">
                  <c:v>13.182567385564125</c:v>
                </c:pt>
                <c:pt idx="54">
                  <c:v>14.454397707459336</c:v>
                </c:pt>
                <c:pt idx="55">
                  <c:v>15.848931924611202</c:v>
                </c:pt>
                <c:pt idx="56">
                  <c:v>17.37800828749383</c:v>
                </c:pt>
                <c:pt idx="57">
                  <c:v>19.05460717963256</c:v>
                </c:pt>
                <c:pt idx="58">
                  <c:v>20.892961308540492</c:v>
                </c:pt>
                <c:pt idx="59">
                  <c:v>22.90867652767784</c:v>
                </c:pt>
                <c:pt idx="60">
                  <c:v>25.118864315095923</c:v>
                </c:pt>
                <c:pt idx="61">
                  <c:v>27.5422870333818</c:v>
                </c:pt>
                <c:pt idx="62">
                  <c:v>30.199517204020314</c:v>
                </c:pt>
                <c:pt idx="63">
                  <c:v>33.113112148259276</c:v>
                </c:pt>
                <c:pt idx="64">
                  <c:v>36.30780547701032</c:v>
                </c:pt>
                <c:pt idx="65">
                  <c:v>39.81071705534993</c:v>
                </c:pt>
                <c:pt idx="66">
                  <c:v>43.651583224016825</c:v>
                </c:pt>
                <c:pt idx="67">
                  <c:v>47.86300923226409</c:v>
                </c:pt>
                <c:pt idx="68">
                  <c:v>52.48074602497754</c:v>
                </c:pt>
                <c:pt idx="69">
                  <c:v>57.54399373371601</c:v>
                </c:pt>
                <c:pt idx="70">
                  <c:v>63.09573444801968</c:v>
                </c:pt>
                <c:pt idx="71">
                  <c:v>69.18309709189404</c:v>
                </c:pt>
                <c:pt idx="72">
                  <c:v>75.85775750291882</c:v>
                </c:pt>
                <c:pt idx="73">
                  <c:v>83.17637711026758</c:v>
                </c:pt>
                <c:pt idx="74">
                  <c:v>91.20108393559151</c:v>
                </c:pt>
                <c:pt idx="75">
                  <c:v>100.0000000000006</c:v>
                </c:pt>
                <c:pt idx="76">
                  <c:v>109.64781961431916</c:v>
                </c:pt>
                <c:pt idx="77">
                  <c:v>120.22644346174202</c:v>
                </c:pt>
                <c:pt idx="78">
                  <c:v>131.82567385564153</c:v>
                </c:pt>
                <c:pt idx="79">
                  <c:v>144.54397707459367</c:v>
                </c:pt>
                <c:pt idx="80">
                  <c:v>158.48931924611236</c:v>
                </c:pt>
                <c:pt idx="81">
                  <c:v>173.78008287493867</c:v>
                </c:pt>
                <c:pt idx="82">
                  <c:v>190.54607179632598</c:v>
                </c:pt>
                <c:pt idx="83">
                  <c:v>208.92961308540535</c:v>
                </c:pt>
                <c:pt idx="84">
                  <c:v>229.08676527677886</c:v>
                </c:pt>
                <c:pt idx="85">
                  <c:v>251.18864315095973</c:v>
                </c:pt>
                <c:pt idx="86">
                  <c:v>275.42287033381854</c:v>
                </c:pt>
                <c:pt idx="87">
                  <c:v>301.9951720402037</c:v>
                </c:pt>
                <c:pt idx="88">
                  <c:v>331.1311214825934</c:v>
                </c:pt>
                <c:pt idx="89">
                  <c:v>363.0780547701039</c:v>
                </c:pt>
                <c:pt idx="90">
                  <c:v>398.1071705535001</c:v>
                </c:pt>
                <c:pt idx="91">
                  <c:v>436.5158322401691</c:v>
                </c:pt>
                <c:pt idx="92">
                  <c:v>478.6300923226418</c:v>
                </c:pt>
                <c:pt idx="93">
                  <c:v>524.8074602497765</c:v>
                </c:pt>
                <c:pt idx="94">
                  <c:v>575.4399373371612</c:v>
                </c:pt>
                <c:pt idx="95">
                  <c:v>630.9573444801979</c:v>
                </c:pt>
                <c:pt idx="96">
                  <c:v>691.8309709189416</c:v>
                </c:pt>
                <c:pt idx="97">
                  <c:v>758.5775750291895</c:v>
                </c:pt>
                <c:pt idx="98">
                  <c:v>831.7637711026773</c:v>
                </c:pt>
                <c:pt idx="99">
                  <c:v>912.0108393559167</c:v>
                </c:pt>
                <c:pt idx="100">
                  <c:v>1000.0000000000077</c:v>
                </c:pt>
                <c:pt idx="101">
                  <c:v>1096.4781961431936</c:v>
                </c:pt>
                <c:pt idx="102">
                  <c:v>1202.2644346174225</c:v>
                </c:pt>
                <c:pt idx="103">
                  <c:v>1318.2567385564178</c:v>
                </c:pt>
                <c:pt idx="104">
                  <c:v>1445.4397707459393</c:v>
                </c:pt>
                <c:pt idx="105">
                  <c:v>1584.8931924611265</c:v>
                </c:pt>
                <c:pt idx="106">
                  <c:v>1737.80082874939</c:v>
                </c:pt>
                <c:pt idx="107">
                  <c:v>1905.460717963263</c:v>
                </c:pt>
                <c:pt idx="108">
                  <c:v>2089.296130854057</c:v>
                </c:pt>
                <c:pt idx="109">
                  <c:v>2290.8676527677926</c:v>
                </c:pt>
                <c:pt idx="110">
                  <c:v>2511.8864315096016</c:v>
                </c:pt>
                <c:pt idx="111">
                  <c:v>2754.2287033381904</c:v>
                </c:pt>
                <c:pt idx="112">
                  <c:v>3019.9517204020426</c:v>
                </c:pt>
                <c:pt idx="113">
                  <c:v>3311.31121482594</c:v>
                </c:pt>
                <c:pt idx="114">
                  <c:v>3630.7805477010456</c:v>
                </c:pt>
                <c:pt idx="115">
                  <c:v>3981.0717055350083</c:v>
                </c:pt>
                <c:pt idx="116">
                  <c:v>4365.1583224016995</c:v>
                </c:pt>
                <c:pt idx="117">
                  <c:v>4786.300923226428</c:v>
                </c:pt>
                <c:pt idx="118">
                  <c:v>5248.074602497774</c:v>
                </c:pt>
                <c:pt idx="119">
                  <c:v>5754.3993733716225</c:v>
                </c:pt>
                <c:pt idx="120">
                  <c:v>6309.573444801991</c:v>
                </c:pt>
                <c:pt idx="121">
                  <c:v>6918.30970918943</c:v>
                </c:pt>
                <c:pt idx="122">
                  <c:v>7585.775750291909</c:v>
                </c:pt>
                <c:pt idx="123">
                  <c:v>8317.63771102679</c:v>
                </c:pt>
                <c:pt idx="124">
                  <c:v>9120.108393559185</c:v>
                </c:pt>
                <c:pt idx="125">
                  <c:v>10000.000000000096</c:v>
                </c:pt>
              </c:numCache>
            </c:numRef>
          </c:xVal>
          <c:yVal>
            <c:numRef>
              <c:f>'Bode Plot Data'!$P$15:$P$140</c:f>
              <c:numCache>
                <c:ptCount val="126"/>
                <c:pt idx="0">
                  <c:v>87.65096845217582</c:v>
                </c:pt>
                <c:pt idx="1">
                  <c:v>87.42510379858982</c:v>
                </c:pt>
                <c:pt idx="2">
                  <c:v>87.17769091460269</c:v>
                </c:pt>
                <c:pt idx="3">
                  <c:v>86.90672761146867</c:v>
                </c:pt>
                <c:pt idx="4">
                  <c:v>86.61004265459687</c:v>
                </c:pt>
                <c:pt idx="5">
                  <c:v>86.28528695589304</c:v>
                </c:pt>
                <c:pt idx="6">
                  <c:v>85.92992620300126</c:v>
                </c:pt>
                <c:pt idx="7">
                  <c:v>85.54123573443808</c:v>
                </c:pt>
                <c:pt idx="8">
                  <c:v>85.11629872883302</c:v>
                </c:pt>
                <c:pt idx="9">
                  <c:v>84.65200910077849</c:v>
                </c:pt>
                <c:pt idx="10">
                  <c:v>84.14508089490883</c:v>
                </c:pt>
                <c:pt idx="11">
                  <c:v>83.59206645108078</c:v>
                </c:pt>
                <c:pt idx="12">
                  <c:v>82.98938617846616</c:v>
                </c:pt>
                <c:pt idx="13">
                  <c:v>82.33337341570515</c:v>
                </c:pt>
                <c:pt idx="14">
                  <c:v>81.62033854031554</c:v>
                </c:pt>
                <c:pt idx="15">
                  <c:v>80.84665716663076</c:v>
                </c:pt>
                <c:pt idx="16">
                  <c:v>80.00888783835492</c:v>
                </c:pt>
                <c:pt idx="17">
                  <c:v>79.10392492146377</c:v>
                </c:pt>
                <c:pt idx="18">
                  <c:v>78.12919220353535</c:v>
                </c:pt>
                <c:pt idx="19">
                  <c:v>77.08288169106152</c:v>
                </c:pt>
                <c:pt idx="20">
                  <c:v>75.96423987480506</c:v>
                </c:pt>
                <c:pt idx="21">
                  <c:v>74.77389987532486</c:v>
                </c:pt>
                <c:pt idx="22">
                  <c:v>73.51425200891597</c:v>
                </c:pt>
                <c:pt idx="23">
                  <c:v>72.1898372591004</c:v>
                </c:pt>
                <c:pt idx="24">
                  <c:v>70.80773816213892</c:v>
                </c:pt>
                <c:pt idx="25">
                  <c:v>69.37793066321022</c:v>
                </c:pt>
                <c:pt idx="26">
                  <c:v>67.91355039671376</c:v>
                </c:pt>
                <c:pt idx="27">
                  <c:v>66.43102027192938</c:v>
                </c:pt>
                <c:pt idx="28">
                  <c:v>64.94998634462108</c:v>
                </c:pt>
                <c:pt idx="29">
                  <c:v>63.493018454957195</c:v>
                </c:pt>
                <c:pt idx="30">
                  <c:v>62.085052119894755</c:v>
                </c:pt>
                <c:pt idx="31">
                  <c:v>60.752577056932026</c:v>
                </c:pt>
                <c:pt idx="32">
                  <c:v>59.52261075515525</c:v>
                </c:pt>
                <c:pt idx="33">
                  <c:v>58.42152576685162</c:v>
                </c:pt>
                <c:pt idx="34">
                  <c:v>57.47381987970065</c:v>
                </c:pt>
                <c:pt idx="35">
                  <c:v>56.70092458881513</c:v>
                </c:pt>
                <c:pt idx="36">
                  <c:v>56.12013916924481</c:v>
                </c:pt>
                <c:pt idx="37">
                  <c:v>55.74375927304709</c:v>
                </c:pt>
                <c:pt idx="38">
                  <c:v>55.57844681873446</c:v>
                </c:pt>
                <c:pt idx="39">
                  <c:v>55.624867993299496</c:v>
                </c:pt>
                <c:pt idx="40">
                  <c:v>55.87761155164887</c:v>
                </c:pt>
                <c:pt idx="41">
                  <c:v>56.32538961442757</c:v>
                </c:pt>
                <c:pt idx="42">
                  <c:v>56.9515143171664</c:v>
                </c:pt>
                <c:pt idx="43">
                  <c:v>57.734631769517726</c:v>
                </c:pt>
                <c:pt idx="44">
                  <c:v>58.64967747432019</c:v>
                </c:pt>
                <c:pt idx="45">
                  <c:v>59.668995758365824</c:v>
                </c:pt>
                <c:pt idx="46">
                  <c:v>60.763544578557166</c:v>
                </c:pt>
                <c:pt idx="47">
                  <c:v>61.90409287009417</c:v>
                </c:pt>
                <c:pt idx="48">
                  <c:v>63.06231608234366</c:v>
                </c:pt>
                <c:pt idx="49">
                  <c:v>64.2117089253148</c:v>
                </c:pt>
                <c:pt idx="50">
                  <c:v>65.32826030419652</c:v>
                </c:pt>
                <c:pt idx="51">
                  <c:v>66.39086798941273</c:v>
                </c:pt>
                <c:pt idx="52">
                  <c:v>67.38150247519523</c:v>
                </c:pt>
                <c:pt idx="53">
                  <c:v>68.28515464214092</c:v>
                </c:pt>
                <c:pt idx="54">
                  <c:v>69.0896169869173</c:v>
                </c:pt>
                <c:pt idx="55">
                  <c:v>69.78515310686578</c:v>
                </c:pt>
                <c:pt idx="56">
                  <c:v>70.36410687681487</c:v>
                </c:pt>
                <c:pt idx="57">
                  <c:v>70.82049440201726</c:v>
                </c:pt>
                <c:pt idx="58">
                  <c:v>71.14961138746122</c:v>
                </c:pt>
                <c:pt idx="59">
                  <c:v>71.34767833619199</c:v>
                </c:pt>
                <c:pt idx="60">
                  <c:v>71.41153737596218</c:v>
                </c:pt>
                <c:pt idx="61">
                  <c:v>71.33840810469509</c:v>
                </c:pt>
                <c:pt idx="62">
                  <c:v>71.12570565457783</c:v>
                </c:pt>
                <c:pt idx="63">
                  <c:v>70.77092187782243</c:v>
                </c:pt>
                <c:pt idx="64">
                  <c:v>70.27156967336101</c:v>
                </c:pt>
                <c:pt idx="65">
                  <c:v>69.62519047436878</c:v>
                </c:pt>
                <c:pt idx="66">
                  <c:v>68.82942527202893</c:v>
                </c:pt>
                <c:pt idx="67">
                  <c:v>67.88214973813322</c:v>
                </c:pt>
                <c:pt idx="68">
                  <c:v>66.78167350264339</c:v>
                </c:pt>
                <c:pt idx="69">
                  <c:v>65.52700191549948</c:v>
                </c:pt>
                <c:pt idx="70">
                  <c:v>64.11815518090103</c:v>
                </c:pt>
                <c:pt idx="71">
                  <c:v>62.55653422670355</c:v>
                </c:pt>
                <c:pt idx="72">
                  <c:v>60.84531497664651</c:v>
                </c:pt>
                <c:pt idx="73">
                  <c:v>58.989843255288044</c:v>
                </c:pt>
                <c:pt idx="74">
                  <c:v>56.99799255210499</c:v>
                </c:pt>
                <c:pt idx="75">
                  <c:v>54.88043837405065</c:v>
                </c:pt>
                <c:pt idx="76">
                  <c:v>52.65079877575111</c:v>
                </c:pt>
                <c:pt idx="77">
                  <c:v>50.32559396720034</c:v>
                </c:pt>
                <c:pt idx="78">
                  <c:v>47.923990996736514</c:v>
                </c:pt>
                <c:pt idx="79">
                  <c:v>45.467322716430886</c:v>
                </c:pt>
                <c:pt idx="80">
                  <c:v>42.97840087426453</c:v>
                </c:pt>
                <c:pt idx="81">
                  <c:v>40.48067547782434</c:v>
                </c:pt>
                <c:pt idx="82">
                  <c:v>37.997318967740114</c:v>
                </c:pt>
                <c:pt idx="83">
                  <c:v>35.55032725738582</c:v>
                </c:pt>
                <c:pt idx="84">
                  <c:v>33.15972655385666</c:v>
                </c:pt>
                <c:pt idx="85">
                  <c:v>30.84295597779414</c:v>
                </c:pt>
                <c:pt idx="86">
                  <c:v>28.614466575065443</c:v>
                </c:pt>
                <c:pt idx="87">
                  <c:v>26.48554487757103</c:v>
                </c:pt>
                <c:pt idx="88">
                  <c:v>24.464340864363784</c:v>
                </c:pt>
                <c:pt idx="89">
                  <c:v>22.556060700097643</c:v>
                </c:pt>
                <c:pt idx="90">
                  <c:v>20.763275489875465</c:v>
                </c:pt>
                <c:pt idx="91">
                  <c:v>19.086297282053817</c:v>
                </c:pt>
                <c:pt idx="92">
                  <c:v>17.52357992518861</c:v>
                </c:pt>
                <c:pt idx="93">
                  <c:v>16.072112055577673</c:v>
                </c:pt>
                <c:pt idx="94">
                  <c:v>14.72777986870439</c:v>
                </c:pt>
                <c:pt idx="95">
                  <c:v>13.485686683332547</c:v>
                </c:pt>
                <c:pt idx="96">
                  <c:v>12.340423769693048</c:v>
                </c:pt>
                <c:pt idx="97">
                  <c:v>11.286292267517515</c:v>
                </c:pt>
                <c:pt idx="98">
                  <c:v>10.3174794545655</c:v>
                </c:pt>
                <c:pt idx="99">
                  <c:v>9.428194519835891</c:v>
                </c:pt>
                <c:pt idx="100">
                  <c:v>8.61276976700554</c:v>
                </c:pt>
                <c:pt idx="101">
                  <c:v>7.865733199710834</c:v>
                </c:pt>
                <c:pt idx="102">
                  <c:v>7.181858021096834</c:v>
                </c:pt>
                <c:pt idx="103">
                  <c:v>6.556193933718931</c:v>
                </c:pt>
                <c:pt idx="104">
                  <c:v>5.984084398907082</c:v>
                </c:pt>
                <c:pt idx="105">
                  <c:v>5.461173297612752</c:v>
                </c:pt>
                <c:pt idx="106">
                  <c:v>4.983403777756706</c:v>
                </c:pt>
                <c:pt idx="107">
                  <c:v>4.547011499288823</c:v>
                </c:pt>
                <c:pt idx="108">
                  <c:v>4.1485140036598445</c:v>
                </c:pt>
                <c:pt idx="109">
                  <c:v>3.784697535493719</c:v>
                </c:pt>
                <c:pt idx="110">
                  <c:v>3.4526023222077815</c:v>
                </c:pt>
                <c:pt idx="111">
                  <c:v>3.149507061482264</c:v>
                </c:pt>
                <c:pt idx="112">
                  <c:v>2.872913165934619</c:v>
                </c:pt>
                <c:pt idx="113">
                  <c:v>2.6205291590214634</c:v>
                </c:pt>
                <c:pt idx="114">
                  <c:v>2.3902554971815175</c:v>
                </c:pt>
                <c:pt idx="115">
                  <c:v>2.1801700030189344</c:v>
                </c:pt>
                <c:pt idx="116">
                  <c:v>1.9885140266853463</c:v>
                </c:pt>
                <c:pt idx="117">
                  <c:v>1.8136794024991008</c:v>
                </c:pt>
                <c:pt idx="118">
                  <c:v>1.6541962312122327</c:v>
                </c:pt>
                <c:pt idx="119">
                  <c:v>1.5087214920107932</c:v>
                </c:pt>
                <c:pt idx="120">
                  <c:v>1.3760284698211567</c:v>
                </c:pt>
                <c:pt idx="121">
                  <c:v>1.25499697085622</c:v>
                </c:pt>
                <c:pt idx="122">
                  <c:v>1.1446042910819039</c:v>
                </c:pt>
                <c:pt idx="123">
                  <c:v>1.043916897267976</c:v>
                </c:pt>
                <c:pt idx="124">
                  <c:v>0.9520827776407529</c:v>
                </c:pt>
                <c:pt idx="125">
                  <c:v>0.8683244182139541</c:v>
                </c:pt>
              </c:numCache>
            </c:numRef>
          </c:yVal>
          <c:smooth val="1"/>
        </c:ser>
        <c:axId val="23644510"/>
        <c:axId val="26772663"/>
      </c:scatterChart>
      <c:valAx>
        <c:axId val="23644510"/>
        <c:scaling>
          <c:logBase val="10"/>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Frequency (Hz)</a:t>
                </a:r>
              </a:p>
            </c:rich>
          </c:tx>
          <c:layout>
            <c:manualLayout>
              <c:xMode val="factor"/>
              <c:yMode val="factor"/>
              <c:x val="0.00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6772663"/>
        <c:crossesAt val="-120"/>
        <c:crossBetween val="midCat"/>
        <c:dispUnits/>
      </c:valAx>
      <c:valAx>
        <c:axId val="2677266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Phase (deg)</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3644510"/>
        <c:crossesAt val="0.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Loop Gain Bode Plot - Magnitude</a:t>
            </a:r>
          </a:p>
        </c:rich>
      </c:tx>
      <c:layout>
        <c:manualLayout>
          <c:xMode val="factor"/>
          <c:yMode val="factor"/>
          <c:x val="0"/>
          <c:y val="0"/>
        </c:manualLayout>
      </c:layout>
      <c:spPr>
        <a:noFill/>
        <a:ln>
          <a:noFill/>
        </a:ln>
      </c:spPr>
    </c:title>
    <c:plotArea>
      <c:layout>
        <c:manualLayout>
          <c:xMode val="edge"/>
          <c:yMode val="edge"/>
          <c:x val="0.026"/>
          <c:y val="0.08"/>
          <c:w val="0.9585"/>
          <c:h val="0.8755"/>
        </c:manualLayout>
      </c:layout>
      <c:scatterChart>
        <c:scatterStyle val="smoothMarker"/>
        <c:varyColors val="0"/>
        <c:ser>
          <c:idx val="0"/>
          <c:order val="0"/>
          <c:tx>
            <c:strRef>
              <c:f>'Bode Plot Data'!$O$14</c:f>
              <c:strCache>
                <c:ptCount val="1"/>
                <c:pt idx="0">
                  <c:v>IT2(s)I (dB)</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numRef>
          </c:xVal>
          <c:yVal>
            <c:numRef>
              <c:f>'Bode Plot Data'!$O$15:$O$140</c:f>
              <c:numCache/>
            </c:numRef>
          </c:yVal>
          <c:smooth val="1"/>
        </c:ser>
        <c:axId val="25355012"/>
        <c:axId val="62693205"/>
      </c:scatterChart>
      <c:valAx>
        <c:axId val="25355012"/>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75"/>
              <c:y val="0.0015"/>
            </c:manualLayout>
          </c:layout>
          <c:overlay val="0"/>
          <c:spPr>
            <a:noFill/>
            <a:ln>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693205"/>
        <c:crossesAt val="-120"/>
        <c:crossBetween val="midCat"/>
        <c:dispUnits/>
      </c:valAx>
      <c:valAx>
        <c:axId val="6269320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Magnitude (dB)</a:t>
                </a:r>
              </a:p>
            </c:rich>
          </c:tx>
          <c:layout>
            <c:manualLayout>
              <c:xMode val="factor"/>
              <c:yMode val="factor"/>
              <c:x val="0.00175"/>
              <c:y val="-0.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355012"/>
        <c:crossesAt val="0.1"/>
        <c:crossBetween val="midCat"/>
        <c:dispUnits/>
      </c:valAx>
      <c:spPr>
        <a:noFill/>
        <a:ln w="12700">
          <a:solidFill>
            <a:srgbClr val="808080"/>
          </a:solidFill>
        </a:ln>
      </c:spPr>
    </c:plotArea>
    <c:legend>
      <c:legendPos val="r"/>
      <c:layout>
        <c:manualLayout>
          <c:xMode val="edge"/>
          <c:yMode val="edge"/>
          <c:x val="0.755"/>
          <c:y val="0.16575"/>
          <c:w val="0.174"/>
          <c:h val="0.06"/>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Loop Gain Bode Plot - Phase</a:t>
            </a:r>
          </a:p>
        </c:rich>
      </c:tx>
      <c:layout>
        <c:manualLayout>
          <c:xMode val="factor"/>
          <c:yMode val="factor"/>
          <c:x val="0"/>
          <c:y val="0"/>
        </c:manualLayout>
      </c:layout>
      <c:spPr>
        <a:noFill/>
        <a:ln>
          <a:noFill/>
        </a:ln>
      </c:spPr>
    </c:title>
    <c:plotArea>
      <c:layout>
        <c:manualLayout>
          <c:xMode val="edge"/>
          <c:yMode val="edge"/>
          <c:x val="0.02425"/>
          <c:y val="0.0805"/>
          <c:w val="0.9605"/>
          <c:h val="0.8705"/>
        </c:manualLayout>
      </c:layout>
      <c:scatterChart>
        <c:scatterStyle val="smoothMarker"/>
        <c:varyColors val="0"/>
        <c:ser>
          <c:idx val="0"/>
          <c:order val="0"/>
          <c:tx>
            <c:strRef>
              <c:f>'Bode Plot Data'!$P$14</c:f>
              <c:strCache>
                <c:ptCount val="1"/>
                <c:pt idx="0">
                  <c:v>P(T2(s)) (deg)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 Data'!$J$15:$J$140</c:f>
              <c:numCache/>
            </c:numRef>
          </c:xVal>
          <c:yVal>
            <c:numRef>
              <c:f>'Bode Plot Data'!$P$15:$P$140</c:f>
              <c:numCache/>
            </c:numRef>
          </c:yVal>
          <c:smooth val="1"/>
        </c:ser>
        <c:axId val="41488890"/>
        <c:axId val="65960323"/>
      </c:scatterChart>
      <c:valAx>
        <c:axId val="41488890"/>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
              <c:y val="0.0015"/>
            </c:manualLayout>
          </c:layout>
          <c:overlay val="0"/>
          <c:spPr>
            <a:noFill/>
            <a:ln>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960323"/>
        <c:crossesAt val="-120"/>
        <c:crossBetween val="midCat"/>
        <c:dispUnits/>
      </c:valAx>
      <c:valAx>
        <c:axId val="6596032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(deg)</a:t>
                </a:r>
              </a:p>
            </c:rich>
          </c:tx>
          <c:layout>
            <c:manualLayout>
              <c:xMode val="factor"/>
              <c:yMode val="factor"/>
              <c:x val="0.00225"/>
              <c:y val="-0.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488890"/>
        <c:crossesAt val="0.1"/>
        <c:crossBetween val="midCat"/>
        <c:dispUnits/>
      </c:valAx>
      <c:spPr>
        <a:noFill/>
        <a:ln w="12700">
          <a:solidFill>
            <a:srgbClr val="808080"/>
          </a:solidFill>
        </a:ln>
      </c:spPr>
    </c:plotArea>
    <c:legend>
      <c:legendPos val="r"/>
      <c:layout>
        <c:manualLayout>
          <c:xMode val="edge"/>
          <c:yMode val="edge"/>
          <c:x val="0.7415"/>
          <c:y val="0.16725"/>
          <c:w val="0.201"/>
          <c:h val="0.060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chart" Target="/xl/charts/chart1.xml" /><Relationship Id="rId4"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3"/>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3</xdr:col>
      <xdr:colOff>2228850</xdr:colOff>
      <xdr:row>0</xdr:row>
      <xdr:rowOff>28575</xdr:rowOff>
    </xdr:from>
    <xdr:to>
      <xdr:col>3</xdr:col>
      <xdr:colOff>2714625</xdr:colOff>
      <xdr:row>0</xdr:row>
      <xdr:rowOff>485775</xdr:rowOff>
    </xdr:to>
    <xdr:pic>
      <xdr:nvPicPr>
        <xdr:cNvPr id="2" name="Picture 4"/>
        <xdr:cNvPicPr preferRelativeResize="1">
          <a:picLocks noChangeAspect="1"/>
        </xdr:cNvPicPr>
      </xdr:nvPicPr>
      <xdr:blipFill>
        <a:blip r:embed="rId2"/>
        <a:stretch>
          <a:fillRect/>
        </a:stretch>
      </xdr:blipFill>
      <xdr:spPr>
        <a:xfrm>
          <a:off x="6238875" y="28575"/>
          <a:ext cx="485775" cy="457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10"/>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114300</xdr:colOff>
      <xdr:row>0</xdr:row>
      <xdr:rowOff>0</xdr:rowOff>
    </xdr:from>
    <xdr:to>
      <xdr:col>6</xdr:col>
      <xdr:colOff>600075</xdr:colOff>
      <xdr:row>0</xdr:row>
      <xdr:rowOff>457200</xdr:rowOff>
    </xdr:to>
    <xdr:pic>
      <xdr:nvPicPr>
        <xdr:cNvPr id="2" name="Picture 12"/>
        <xdr:cNvPicPr preferRelativeResize="1">
          <a:picLocks noChangeAspect="1"/>
        </xdr:cNvPicPr>
      </xdr:nvPicPr>
      <xdr:blipFill>
        <a:blip r:embed="rId2"/>
        <a:stretch>
          <a:fillRect/>
        </a:stretch>
      </xdr:blipFill>
      <xdr:spPr>
        <a:xfrm>
          <a:off x="6600825" y="0"/>
          <a:ext cx="485775" cy="4572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276225</xdr:colOff>
      <xdr:row>0</xdr:row>
      <xdr:rowOff>476250</xdr:rowOff>
    </xdr:to>
    <xdr:pic>
      <xdr:nvPicPr>
        <xdr:cNvPr id="1" name="Picture 23"/>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523875</xdr:colOff>
      <xdr:row>0</xdr:row>
      <xdr:rowOff>0</xdr:rowOff>
    </xdr:from>
    <xdr:to>
      <xdr:col>6</xdr:col>
      <xdr:colOff>1009650</xdr:colOff>
      <xdr:row>0</xdr:row>
      <xdr:rowOff>457200</xdr:rowOff>
    </xdr:to>
    <xdr:pic>
      <xdr:nvPicPr>
        <xdr:cNvPr id="2" name="Picture 24"/>
        <xdr:cNvPicPr preferRelativeResize="1">
          <a:picLocks noChangeAspect="1"/>
        </xdr:cNvPicPr>
      </xdr:nvPicPr>
      <xdr:blipFill>
        <a:blip r:embed="rId2"/>
        <a:stretch>
          <a:fillRect/>
        </a:stretch>
      </xdr:blipFill>
      <xdr:spPr>
        <a:xfrm>
          <a:off x="6515100" y="0"/>
          <a:ext cx="485775" cy="4572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1447800</xdr:colOff>
      <xdr:row>0</xdr:row>
      <xdr:rowOff>476250</xdr:rowOff>
    </xdr:to>
    <xdr:pic>
      <xdr:nvPicPr>
        <xdr:cNvPr id="1" name="Picture 2"/>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6</xdr:col>
      <xdr:colOff>323850</xdr:colOff>
      <xdr:row>0</xdr:row>
      <xdr:rowOff>0</xdr:rowOff>
    </xdr:from>
    <xdr:to>
      <xdr:col>6</xdr:col>
      <xdr:colOff>809625</xdr:colOff>
      <xdr:row>0</xdr:row>
      <xdr:rowOff>457200</xdr:rowOff>
    </xdr:to>
    <xdr:pic>
      <xdr:nvPicPr>
        <xdr:cNvPr id="2" name="Picture 3"/>
        <xdr:cNvPicPr preferRelativeResize="1">
          <a:picLocks noChangeAspect="1"/>
        </xdr:cNvPicPr>
      </xdr:nvPicPr>
      <xdr:blipFill>
        <a:blip r:embed="rId2"/>
        <a:stretch>
          <a:fillRect/>
        </a:stretch>
      </xdr:blipFill>
      <xdr:spPr>
        <a:xfrm>
          <a:off x="6877050" y="0"/>
          <a:ext cx="485775" cy="457200"/>
        </a:xfrm>
        <a:prstGeom prst="rect">
          <a:avLst/>
        </a:prstGeom>
        <a:noFill/>
        <a:ln w="1" cmpd="sng">
          <a:noFill/>
        </a:ln>
      </xdr:spPr>
    </xdr:pic>
    <xdr:clientData/>
  </xdr:twoCellAnchor>
  <xdr:twoCellAnchor editAs="oneCell">
    <xdr:from>
      <xdr:col>0</xdr:col>
      <xdr:colOff>28575</xdr:colOff>
      <xdr:row>5</xdr:row>
      <xdr:rowOff>0</xdr:rowOff>
    </xdr:from>
    <xdr:to>
      <xdr:col>6</xdr:col>
      <xdr:colOff>838200</xdr:colOff>
      <xdr:row>27</xdr:row>
      <xdr:rowOff>0</xdr:rowOff>
    </xdr:to>
    <xdr:pic>
      <xdr:nvPicPr>
        <xdr:cNvPr id="3" name="Picture 25"/>
        <xdr:cNvPicPr preferRelativeResize="1">
          <a:picLocks noChangeAspect="1"/>
        </xdr:cNvPicPr>
      </xdr:nvPicPr>
      <xdr:blipFill>
        <a:blip r:embed="rId3"/>
        <a:stretch>
          <a:fillRect/>
        </a:stretch>
      </xdr:blipFill>
      <xdr:spPr>
        <a:xfrm>
          <a:off x="28575" y="1600200"/>
          <a:ext cx="7362825" cy="35623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1447800</xdr:colOff>
      <xdr:row>0</xdr:row>
      <xdr:rowOff>476250</xdr:rowOff>
    </xdr:to>
    <xdr:pic>
      <xdr:nvPicPr>
        <xdr:cNvPr id="1" name="Picture 1"/>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7</xdr:col>
      <xdr:colOff>323850</xdr:colOff>
      <xdr:row>0</xdr:row>
      <xdr:rowOff>0</xdr:rowOff>
    </xdr:from>
    <xdr:to>
      <xdr:col>7</xdr:col>
      <xdr:colOff>809625</xdr:colOff>
      <xdr:row>0</xdr:row>
      <xdr:rowOff>457200</xdr:rowOff>
    </xdr:to>
    <xdr:pic>
      <xdr:nvPicPr>
        <xdr:cNvPr id="2" name="Picture 2"/>
        <xdr:cNvPicPr preferRelativeResize="1">
          <a:picLocks noChangeAspect="1"/>
        </xdr:cNvPicPr>
      </xdr:nvPicPr>
      <xdr:blipFill>
        <a:blip r:embed="rId2"/>
        <a:stretch>
          <a:fillRect/>
        </a:stretch>
      </xdr:blipFill>
      <xdr:spPr>
        <a:xfrm>
          <a:off x="6096000" y="0"/>
          <a:ext cx="485775" cy="457200"/>
        </a:xfrm>
        <a:prstGeom prst="rect">
          <a:avLst/>
        </a:prstGeom>
        <a:noFill/>
        <a:ln w="1" cmpd="sng">
          <a:noFill/>
        </a:ln>
      </xdr:spPr>
    </xdr:pic>
    <xdr:clientData/>
  </xdr:twoCellAnchor>
  <xdr:twoCellAnchor>
    <xdr:from>
      <xdr:col>0</xdr:col>
      <xdr:colOff>838200</xdr:colOff>
      <xdr:row>6</xdr:row>
      <xdr:rowOff>85725</xdr:rowOff>
    </xdr:from>
    <xdr:to>
      <xdr:col>7</xdr:col>
      <xdr:colOff>9525</xdr:colOff>
      <xdr:row>26</xdr:row>
      <xdr:rowOff>123825</xdr:rowOff>
    </xdr:to>
    <xdr:graphicFrame>
      <xdr:nvGraphicFramePr>
        <xdr:cNvPr id="3" name="Chart 23"/>
        <xdr:cNvGraphicFramePr/>
      </xdr:nvGraphicFramePr>
      <xdr:xfrm>
        <a:off x="838200" y="1438275"/>
        <a:ext cx="4943475" cy="3276600"/>
      </xdr:xfrm>
      <a:graphic>
        <a:graphicData uri="http://schemas.openxmlformats.org/drawingml/2006/chart">
          <c:chart xmlns:c="http://schemas.openxmlformats.org/drawingml/2006/chart" r:id="rId3"/>
        </a:graphicData>
      </a:graphic>
    </xdr:graphicFrame>
    <xdr:clientData/>
  </xdr:twoCellAnchor>
  <xdr:twoCellAnchor>
    <xdr:from>
      <xdr:col>0</xdr:col>
      <xdr:colOff>838200</xdr:colOff>
      <xdr:row>26</xdr:row>
      <xdr:rowOff>123825</xdr:rowOff>
    </xdr:from>
    <xdr:to>
      <xdr:col>7</xdr:col>
      <xdr:colOff>9525</xdr:colOff>
      <xdr:row>50</xdr:row>
      <xdr:rowOff>76200</xdr:rowOff>
    </xdr:to>
    <xdr:graphicFrame>
      <xdr:nvGraphicFramePr>
        <xdr:cNvPr id="4" name="Chart 24"/>
        <xdr:cNvGraphicFramePr/>
      </xdr:nvGraphicFramePr>
      <xdr:xfrm>
        <a:off x="838200" y="4714875"/>
        <a:ext cx="4943475" cy="32766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10"/>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114300</xdr:colOff>
      <xdr:row>0</xdr:row>
      <xdr:rowOff>0</xdr:rowOff>
    </xdr:from>
    <xdr:to>
      <xdr:col>6</xdr:col>
      <xdr:colOff>600075</xdr:colOff>
      <xdr:row>0</xdr:row>
      <xdr:rowOff>457200</xdr:rowOff>
    </xdr:to>
    <xdr:pic>
      <xdr:nvPicPr>
        <xdr:cNvPr id="2" name="Picture 12"/>
        <xdr:cNvPicPr preferRelativeResize="1">
          <a:picLocks noChangeAspect="1"/>
        </xdr:cNvPicPr>
      </xdr:nvPicPr>
      <xdr:blipFill>
        <a:blip r:embed="rId2"/>
        <a:stretch>
          <a:fillRect/>
        </a:stretch>
      </xdr:blipFill>
      <xdr:spPr>
        <a:xfrm>
          <a:off x="6600825" y="0"/>
          <a:ext cx="485775" cy="457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123825</xdr:colOff>
      <xdr:row>2</xdr:row>
      <xdr:rowOff>152400</xdr:rowOff>
    </xdr:to>
    <xdr:pic>
      <xdr:nvPicPr>
        <xdr:cNvPr id="1" name="Picture 1"/>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8</xdr:col>
      <xdr:colOff>95250</xdr:colOff>
      <xdr:row>0</xdr:row>
      <xdr:rowOff>19050</xdr:rowOff>
    </xdr:from>
    <xdr:to>
      <xdr:col>8</xdr:col>
      <xdr:colOff>581025</xdr:colOff>
      <xdr:row>2</xdr:row>
      <xdr:rowOff>152400</xdr:rowOff>
    </xdr:to>
    <xdr:pic>
      <xdr:nvPicPr>
        <xdr:cNvPr id="2" name="Picture 2"/>
        <xdr:cNvPicPr preferRelativeResize="1">
          <a:picLocks noChangeAspect="1"/>
        </xdr:cNvPicPr>
      </xdr:nvPicPr>
      <xdr:blipFill>
        <a:blip r:embed="rId2"/>
        <a:stretch>
          <a:fillRect/>
        </a:stretch>
      </xdr:blipFill>
      <xdr:spPr>
        <a:xfrm>
          <a:off x="5248275" y="19050"/>
          <a:ext cx="485775" cy="457200"/>
        </a:xfrm>
        <a:prstGeom prst="rect">
          <a:avLst/>
        </a:prstGeom>
        <a:noFill/>
        <a:ln w="1" cmpd="sng">
          <a:noFill/>
        </a:ln>
      </xdr:spPr>
    </xdr:pic>
    <xdr:clientData/>
  </xdr:twoCellAnchor>
  <xdr:twoCellAnchor>
    <xdr:from>
      <xdr:col>0</xdr:col>
      <xdr:colOff>0</xdr:colOff>
      <xdr:row>5</xdr:row>
      <xdr:rowOff>0</xdr:rowOff>
    </xdr:from>
    <xdr:to>
      <xdr:col>8</xdr:col>
      <xdr:colOff>571500</xdr:colOff>
      <xdr:row>26</xdr:row>
      <xdr:rowOff>19050</xdr:rowOff>
    </xdr:to>
    <xdr:graphicFrame>
      <xdr:nvGraphicFramePr>
        <xdr:cNvPr id="3" name="Chart 3"/>
        <xdr:cNvGraphicFramePr/>
      </xdr:nvGraphicFramePr>
      <xdr:xfrm>
        <a:off x="0" y="809625"/>
        <a:ext cx="5724525" cy="34194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26</xdr:row>
      <xdr:rowOff>19050</xdr:rowOff>
    </xdr:from>
    <xdr:to>
      <xdr:col>8</xdr:col>
      <xdr:colOff>571500</xdr:colOff>
      <xdr:row>47</xdr:row>
      <xdr:rowOff>9525</xdr:rowOff>
    </xdr:to>
    <xdr:graphicFrame>
      <xdr:nvGraphicFramePr>
        <xdr:cNvPr id="4" name="Chart 4"/>
        <xdr:cNvGraphicFramePr/>
      </xdr:nvGraphicFramePr>
      <xdr:xfrm>
        <a:off x="0" y="4229100"/>
        <a:ext cx="5724525" cy="33909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package" Target="../embeddings/MBD000BC7F2.xlsx" /><Relationship Id="rId3" Type="http://schemas.openxmlformats.org/officeDocument/2006/relationships/package" Target="../embeddings/MBD000BC7F3.xlsx" /><Relationship Id="rId4" Type="http://schemas.openxmlformats.org/officeDocument/2006/relationships/vmlDrawing" Target="../drawings/vmlDrawing5.vm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
  <sheetViews>
    <sheetView zoomScalePageLayoutView="0" workbookViewId="0" topLeftCell="A1">
      <selection activeCell="C2" sqref="C2"/>
    </sheetView>
  </sheetViews>
  <sheetFormatPr defaultColWidth="9.140625" defaultRowHeight="12.75"/>
  <cols>
    <col min="2" max="2" width="10.140625" style="0" bestFit="1" customWidth="1"/>
  </cols>
  <sheetData>
    <row r="1" spans="1:2" ht="12.75">
      <c r="A1" t="s">
        <v>89</v>
      </c>
      <c r="B1" s="140">
        <v>3</v>
      </c>
    </row>
    <row r="2" spans="1:2" ht="12.75">
      <c r="A2" t="s">
        <v>90</v>
      </c>
      <c r="B2" s="51">
        <v>40330</v>
      </c>
    </row>
    <row r="3" spans="1:2" ht="12.75">
      <c r="A3" t="s">
        <v>202</v>
      </c>
      <c r="B3" t="s">
        <v>201</v>
      </c>
    </row>
  </sheetData>
  <sheetProtection password="995D" sheet="1" objects="1" scenarios="1" selectLockedCells="1" selectUn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
      <selection activeCell="A9" sqref="A9"/>
    </sheetView>
  </sheetViews>
  <sheetFormatPr defaultColWidth="9.140625" defaultRowHeight="12.75"/>
  <cols>
    <col min="5" max="5" width="14.57421875" style="0" bestFit="1" customWidth="1"/>
  </cols>
  <sheetData>
    <row r="1" spans="1:5" ht="12.75">
      <c r="A1">
        <v>1</v>
      </c>
      <c r="B1">
        <v>96</v>
      </c>
      <c r="E1" t="s">
        <v>114</v>
      </c>
    </row>
    <row r="2" spans="1:5" ht="12.75">
      <c r="A2">
        <v>2</v>
      </c>
      <c r="B2">
        <v>48</v>
      </c>
      <c r="E2">
        <v>1</v>
      </c>
    </row>
    <row r="3" spans="1:5" ht="12.75">
      <c r="A3">
        <v>5</v>
      </c>
      <c r="B3">
        <v>24</v>
      </c>
      <c r="E3">
        <v>1.1</v>
      </c>
    </row>
    <row r="4" spans="1:5" ht="12.75">
      <c r="A4">
        <v>10</v>
      </c>
      <c r="B4">
        <v>12</v>
      </c>
      <c r="E4">
        <v>1.2</v>
      </c>
    </row>
    <row r="5" ht="12.75">
      <c r="E5">
        <v>1.3</v>
      </c>
    </row>
    <row r="6" ht="12.75">
      <c r="E6">
        <v>1.5</v>
      </c>
    </row>
    <row r="7" spans="1:5" ht="12.75">
      <c r="A7" s="238" t="s">
        <v>118</v>
      </c>
      <c r="B7" s="238"/>
      <c r="C7" s="238"/>
      <c r="E7">
        <v>1.6</v>
      </c>
    </row>
    <row r="8" spans="1:5" ht="12.75">
      <c r="A8" s="55" t="s">
        <v>115</v>
      </c>
      <c r="B8" s="55" t="s">
        <v>116</v>
      </c>
      <c r="C8" s="55" t="s">
        <v>117</v>
      </c>
      <c r="E8">
        <v>1.8</v>
      </c>
    </row>
    <row r="9" spans="1:5" ht="12.75">
      <c r="A9" s="56">
        <v>3643</v>
      </c>
      <c r="B9" s="53">
        <f>MROUND(10^FLOOR(LOG(A9),1)*10^(FLOOR(96*LOG(A9/(10^(FLOOR(LOG(A9),1)))),1)/96),10^FLOOR(LOG(A9),1)/100)</f>
        <v>3570</v>
      </c>
      <c r="C9" s="53">
        <f>MROUND(10^FLOOR(LOG(A9),1)*10^(CEILING(96*LOG(A9/(10^(FLOOR(LOG(A9),1)))),1)/96),10^FLOOR(LOG(A9),1)/100)</f>
        <v>3650</v>
      </c>
      <c r="E9">
        <v>2</v>
      </c>
    </row>
    <row r="10" ht="12.75">
      <c r="E10">
        <v>2.2</v>
      </c>
    </row>
    <row r="11" ht="12.75">
      <c r="E11">
        <v>2.4</v>
      </c>
    </row>
    <row r="12" ht="12.75">
      <c r="E12">
        <v>2.7</v>
      </c>
    </row>
    <row r="13" ht="12.75">
      <c r="E13">
        <v>3</v>
      </c>
    </row>
    <row r="14" ht="12.75">
      <c r="E14">
        <v>3.3</v>
      </c>
    </row>
    <row r="15" ht="12.75">
      <c r="E15">
        <v>3.6</v>
      </c>
    </row>
    <row r="16" ht="12.75">
      <c r="E16">
        <v>3.9</v>
      </c>
    </row>
    <row r="17" ht="12.75">
      <c r="E17">
        <v>4.3</v>
      </c>
    </row>
    <row r="18" ht="12.75">
      <c r="E18">
        <v>4.7</v>
      </c>
    </row>
    <row r="19" ht="12.75">
      <c r="E19">
        <v>5.1</v>
      </c>
    </row>
    <row r="20" ht="12.75">
      <c r="E20">
        <v>5.6</v>
      </c>
    </row>
    <row r="21" ht="12.75">
      <c r="E21">
        <v>6.2</v>
      </c>
    </row>
    <row r="22" ht="12.75">
      <c r="E22">
        <v>6.8</v>
      </c>
    </row>
    <row r="23" ht="12.75">
      <c r="E23">
        <v>7.5</v>
      </c>
    </row>
    <row r="24" ht="12.75">
      <c r="E24">
        <v>8.2</v>
      </c>
    </row>
    <row r="25" ht="12.75">
      <c r="E25">
        <v>9.1</v>
      </c>
    </row>
    <row r="26" ht="12.75">
      <c r="E26">
        <v>10</v>
      </c>
    </row>
    <row r="27" ht="12.75">
      <c r="E27">
        <v>11</v>
      </c>
    </row>
    <row r="28" ht="12.75">
      <c r="E28">
        <v>12</v>
      </c>
    </row>
    <row r="29" ht="12.75">
      <c r="E29">
        <v>13</v>
      </c>
    </row>
    <row r="30" ht="12.75">
      <c r="E30">
        <v>15</v>
      </c>
    </row>
    <row r="31" ht="12.75">
      <c r="E31">
        <v>16</v>
      </c>
    </row>
    <row r="32" ht="12.75">
      <c r="E32">
        <v>18</v>
      </c>
    </row>
    <row r="33" ht="12.75">
      <c r="E33">
        <v>20</v>
      </c>
    </row>
    <row r="34" ht="12.75">
      <c r="E34">
        <v>22</v>
      </c>
    </row>
    <row r="35" ht="12.75">
      <c r="E35">
        <v>24</v>
      </c>
    </row>
    <row r="36" ht="12.75">
      <c r="E36">
        <v>27</v>
      </c>
    </row>
    <row r="37" ht="12.75">
      <c r="E37">
        <v>30</v>
      </c>
    </row>
    <row r="38" ht="12.75">
      <c r="E38">
        <v>33</v>
      </c>
    </row>
    <row r="39" ht="12.75">
      <c r="E39">
        <v>36</v>
      </c>
    </row>
    <row r="40" ht="12.75">
      <c r="E40">
        <v>39</v>
      </c>
    </row>
    <row r="41" ht="12.75">
      <c r="E41">
        <v>43</v>
      </c>
    </row>
    <row r="42" ht="12.75">
      <c r="E42">
        <v>47</v>
      </c>
    </row>
    <row r="43" ht="12.75">
      <c r="E43">
        <v>51</v>
      </c>
    </row>
    <row r="44" ht="12.75">
      <c r="E44">
        <v>56</v>
      </c>
    </row>
    <row r="45" ht="12.75">
      <c r="E45">
        <v>62</v>
      </c>
    </row>
    <row r="46" ht="12.75">
      <c r="E46">
        <v>68</v>
      </c>
    </row>
    <row r="47" ht="12.75">
      <c r="E47">
        <v>75</v>
      </c>
    </row>
    <row r="48" ht="12.75">
      <c r="E48">
        <v>82</v>
      </c>
    </row>
    <row r="49" ht="12.75">
      <c r="E49">
        <v>91</v>
      </c>
    </row>
    <row r="50" ht="12.75">
      <c r="E50">
        <v>100</v>
      </c>
    </row>
    <row r="51" ht="12.75">
      <c r="E51">
        <v>110</v>
      </c>
    </row>
    <row r="52" ht="12.75">
      <c r="E52">
        <v>120</v>
      </c>
    </row>
    <row r="53" ht="12.75">
      <c r="E53">
        <v>130</v>
      </c>
    </row>
    <row r="54" ht="12.75">
      <c r="E54">
        <v>150</v>
      </c>
    </row>
    <row r="55" ht="12.75">
      <c r="E55">
        <v>160</v>
      </c>
    </row>
    <row r="56" ht="12.75">
      <c r="E56">
        <v>180</v>
      </c>
    </row>
    <row r="57" ht="12.75">
      <c r="E57">
        <v>200</v>
      </c>
    </row>
    <row r="58" ht="12.75">
      <c r="E58">
        <v>220</v>
      </c>
    </row>
    <row r="59" ht="12.75">
      <c r="E59">
        <v>240</v>
      </c>
    </row>
    <row r="60" ht="12.75">
      <c r="E60">
        <v>270</v>
      </c>
    </row>
    <row r="61" ht="12.75">
      <c r="E61">
        <v>300</v>
      </c>
    </row>
    <row r="62" ht="12.75">
      <c r="E62">
        <v>330</v>
      </c>
    </row>
    <row r="63" ht="12.75">
      <c r="E63">
        <v>360</v>
      </c>
    </row>
    <row r="64" ht="12.75">
      <c r="E64">
        <v>390</v>
      </c>
    </row>
    <row r="65" ht="12.75">
      <c r="E65">
        <v>430</v>
      </c>
    </row>
    <row r="66" ht="12.75">
      <c r="E66">
        <v>470</v>
      </c>
    </row>
    <row r="67" ht="12.75">
      <c r="E67">
        <v>510</v>
      </c>
    </row>
    <row r="68" ht="12.75">
      <c r="E68">
        <v>560</v>
      </c>
    </row>
    <row r="69" ht="12.75">
      <c r="E69">
        <v>620</v>
      </c>
    </row>
    <row r="70" ht="12.75">
      <c r="E70">
        <v>680</v>
      </c>
    </row>
    <row r="71" ht="12.75">
      <c r="E71">
        <v>750</v>
      </c>
    </row>
    <row r="72" ht="12.75">
      <c r="E72">
        <v>820</v>
      </c>
    </row>
    <row r="73" ht="12.75">
      <c r="E73">
        <v>910</v>
      </c>
    </row>
    <row r="74" ht="12.75">
      <c r="E74">
        <v>1000</v>
      </c>
    </row>
    <row r="75" ht="12.75">
      <c r="E75">
        <v>1100</v>
      </c>
    </row>
    <row r="76" ht="12.75">
      <c r="E76">
        <v>1200</v>
      </c>
    </row>
    <row r="77" ht="12.75">
      <c r="E77">
        <v>1300</v>
      </c>
    </row>
    <row r="78" ht="12.75">
      <c r="E78">
        <v>1500</v>
      </c>
    </row>
    <row r="79" ht="12.75">
      <c r="E79">
        <v>1600</v>
      </c>
    </row>
    <row r="80" ht="12.75">
      <c r="E80">
        <v>1800</v>
      </c>
    </row>
    <row r="81" ht="12.75">
      <c r="E81">
        <v>2000</v>
      </c>
    </row>
    <row r="82" ht="12.75">
      <c r="E82">
        <v>2200</v>
      </c>
    </row>
    <row r="83" ht="12.75">
      <c r="E83">
        <v>2400</v>
      </c>
    </row>
    <row r="84" ht="12.75">
      <c r="E84">
        <v>2700</v>
      </c>
    </row>
    <row r="85" ht="12.75">
      <c r="E85">
        <v>3000</v>
      </c>
    </row>
    <row r="86" ht="12.75">
      <c r="E86">
        <v>3300</v>
      </c>
    </row>
    <row r="87" ht="12.75">
      <c r="E87">
        <v>3600</v>
      </c>
    </row>
    <row r="88" ht="12.75">
      <c r="E88">
        <v>3900</v>
      </c>
    </row>
    <row r="89" ht="12.75">
      <c r="E89">
        <v>4300</v>
      </c>
    </row>
    <row r="90" ht="12.75">
      <c r="E90">
        <v>4700</v>
      </c>
    </row>
    <row r="91" ht="12.75">
      <c r="E91">
        <v>5100</v>
      </c>
    </row>
    <row r="92" ht="12.75">
      <c r="E92">
        <v>5600</v>
      </c>
    </row>
    <row r="93" ht="12.75">
      <c r="E93">
        <v>6200</v>
      </c>
    </row>
    <row r="94" ht="12.75">
      <c r="E94">
        <v>6800</v>
      </c>
    </row>
    <row r="95" ht="12.75">
      <c r="E95">
        <v>7500</v>
      </c>
    </row>
    <row r="96" ht="12.75">
      <c r="E96">
        <v>8200</v>
      </c>
    </row>
    <row r="97" ht="12.75">
      <c r="E97">
        <v>9100</v>
      </c>
    </row>
    <row r="98" ht="12.75">
      <c r="E98">
        <v>10000</v>
      </c>
    </row>
    <row r="99" ht="12.75">
      <c r="E99">
        <v>15000</v>
      </c>
    </row>
    <row r="100" ht="12.75">
      <c r="E100">
        <v>22000</v>
      </c>
    </row>
    <row r="101" ht="12.75">
      <c r="E101">
        <v>33000</v>
      </c>
    </row>
    <row r="102" ht="12.75">
      <c r="E102">
        <v>47000</v>
      </c>
    </row>
    <row r="103" ht="12.75">
      <c r="E103">
        <v>68000</v>
      </c>
    </row>
    <row r="104" ht="12.75">
      <c r="E104">
        <v>100000</v>
      </c>
    </row>
    <row r="105" ht="12.75">
      <c r="E105">
        <v>150000</v>
      </c>
    </row>
    <row r="106" ht="12.75">
      <c r="E106">
        <v>220000</v>
      </c>
    </row>
    <row r="107" ht="12.75">
      <c r="E107">
        <v>330000</v>
      </c>
    </row>
    <row r="108" ht="12.75">
      <c r="E108">
        <v>470000</v>
      </c>
    </row>
    <row r="109" ht="12.75">
      <c r="E109">
        <v>680000</v>
      </c>
    </row>
    <row r="110" ht="12.75">
      <c r="E110">
        <v>1000000</v>
      </c>
    </row>
    <row r="111" ht="12.75">
      <c r="E111">
        <v>1500000</v>
      </c>
    </row>
    <row r="112" ht="12.75">
      <c r="E112">
        <v>2200000</v>
      </c>
    </row>
    <row r="113" ht="12.75">
      <c r="E113">
        <v>3300000</v>
      </c>
    </row>
    <row r="114" ht="12.75">
      <c r="E114">
        <v>4700000</v>
      </c>
    </row>
    <row r="115" ht="12.75">
      <c r="E115">
        <v>6800000</v>
      </c>
    </row>
    <row r="116" ht="12.75">
      <c r="E116">
        <v>10000000</v>
      </c>
    </row>
    <row r="117" ht="12.75">
      <c r="E117">
        <v>15000000</v>
      </c>
    </row>
    <row r="118" ht="12.75">
      <c r="E118">
        <v>22000000</v>
      </c>
    </row>
    <row r="119" ht="12.75">
      <c r="E119">
        <v>33000000</v>
      </c>
    </row>
    <row r="120" ht="12.75">
      <c r="E120">
        <v>47000000</v>
      </c>
    </row>
    <row r="121" ht="12.75">
      <c r="E121">
        <v>68000000</v>
      </c>
    </row>
    <row r="122" ht="12.75">
      <c r="E122">
        <v>100000000</v>
      </c>
    </row>
    <row r="123" ht="12.75">
      <c r="E123">
        <v>150000000</v>
      </c>
    </row>
    <row r="124" ht="12.75">
      <c r="E124">
        <v>220000000</v>
      </c>
    </row>
    <row r="125" ht="12.75">
      <c r="E125">
        <v>330000000</v>
      </c>
    </row>
    <row r="126" ht="12.75">
      <c r="E126">
        <v>470000000</v>
      </c>
    </row>
    <row r="127" ht="12.75">
      <c r="E127">
        <v>680000000</v>
      </c>
    </row>
    <row r="128" ht="12.75">
      <c r="E128">
        <v>1000000000</v>
      </c>
    </row>
    <row r="129" ht="12.75">
      <c r="E129">
        <v>1500000000</v>
      </c>
    </row>
    <row r="130" ht="12.75">
      <c r="E130">
        <v>2200000000</v>
      </c>
    </row>
    <row r="131" ht="12.75">
      <c r="E131">
        <v>3300000000</v>
      </c>
    </row>
    <row r="132" ht="12.75">
      <c r="E132">
        <v>4700000000</v>
      </c>
    </row>
    <row r="133" ht="12.75">
      <c r="E133">
        <v>6800000000</v>
      </c>
    </row>
    <row r="134" ht="12.75">
      <c r="E134">
        <v>10000000000</v>
      </c>
    </row>
  </sheetData>
  <sheetProtection password="995D" sheet="1" objects="1" scenarios="1" selectLockedCells="1" selectUnlockedCells="1"/>
  <mergeCells count="1">
    <mergeCell ref="A7:C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39"/>
  <sheetViews>
    <sheetView tabSelected="1" zoomScalePageLayoutView="0" workbookViewId="0" topLeftCell="A1">
      <selection activeCell="C34" sqref="C34:D34"/>
    </sheetView>
  </sheetViews>
  <sheetFormatPr defaultColWidth="9.140625" defaultRowHeight="12.75"/>
  <cols>
    <col min="1" max="1" width="32.7109375" style="0" customWidth="1"/>
    <col min="2" max="2" width="14.00390625" style="0" customWidth="1"/>
    <col min="3" max="3" width="13.421875" style="0" customWidth="1"/>
    <col min="4" max="4" width="41.8515625" style="0" customWidth="1"/>
  </cols>
  <sheetData>
    <row r="1" spans="1:4" s="1" customFormat="1" ht="40.5" customHeight="1">
      <c r="A1" s="240" t="s">
        <v>299</v>
      </c>
      <c r="B1" s="240"/>
      <c r="C1" s="240"/>
      <c r="D1" s="240"/>
    </row>
    <row r="3" spans="1:4" ht="174.75" customHeight="1">
      <c r="A3" s="241" t="s">
        <v>307</v>
      </c>
      <c r="B3" s="241"/>
      <c r="C3" s="241"/>
      <c r="D3" s="241"/>
    </row>
    <row r="25" ht="12.75">
      <c r="A25" t="s">
        <v>137</v>
      </c>
    </row>
    <row r="26" spans="1:4" ht="68.25" customHeight="1">
      <c r="A26" s="242" t="s">
        <v>138</v>
      </c>
      <c r="B26" s="243"/>
      <c r="C26" s="243"/>
      <c r="D26" s="244"/>
    </row>
    <row r="28" spans="1:4" ht="12.75">
      <c r="A28" s="245" t="s">
        <v>147</v>
      </c>
      <c r="B28" s="245"/>
      <c r="C28" s="245"/>
      <c r="D28" s="245"/>
    </row>
    <row r="29" spans="1:4" ht="12.75">
      <c r="A29" s="151"/>
      <c r="B29" s="151"/>
      <c r="C29" s="151"/>
      <c r="D29" s="151"/>
    </row>
    <row r="30" spans="1:4" ht="12.75">
      <c r="A30" s="151"/>
      <c r="B30" s="151"/>
      <c r="C30" s="151"/>
      <c r="D30" s="151"/>
    </row>
    <row r="31" spans="1:4" ht="12.75">
      <c r="A31" s="151"/>
      <c r="B31" s="151"/>
      <c r="C31" s="151"/>
      <c r="D31" s="151"/>
    </row>
    <row r="32" spans="1:4" ht="12.75">
      <c r="A32" s="151"/>
      <c r="B32" s="151"/>
      <c r="C32" s="151"/>
      <c r="D32" s="151"/>
    </row>
    <row r="34" spans="1:4" ht="12.75">
      <c r="A34" s="246" t="s">
        <v>199</v>
      </c>
      <c r="B34" s="158" t="s">
        <v>194</v>
      </c>
      <c r="C34" s="248" t="s">
        <v>153</v>
      </c>
      <c r="D34" s="249"/>
    </row>
    <row r="35" spans="1:4" ht="12.75">
      <c r="A35" s="247"/>
      <c r="B35" s="158" t="s">
        <v>195</v>
      </c>
      <c r="C35" s="248" t="s">
        <v>153</v>
      </c>
      <c r="D35" s="249"/>
    </row>
    <row r="36" spans="1:4" ht="12.75">
      <c r="A36" s="247"/>
      <c r="B36" s="159" t="s">
        <v>90</v>
      </c>
      <c r="C36" s="250" t="s">
        <v>153</v>
      </c>
      <c r="D36" s="251"/>
    </row>
    <row r="37" spans="1:4" s="2" customFormat="1" ht="10.5">
      <c r="A37" s="239"/>
      <c r="B37" s="239"/>
      <c r="C37" s="239"/>
      <c r="D37" s="239"/>
    </row>
    <row r="38" spans="1:4" s="1" customFormat="1" ht="12.75">
      <c r="A38" s="12" t="str">
        <f>Copy_Right</f>
        <v>© 2010 Fairchild Semiconductor Corporation.  All rights reserved.</v>
      </c>
      <c r="B38" s="12"/>
      <c r="C38" s="12"/>
      <c r="D38" s="71" t="s">
        <v>80</v>
      </c>
    </row>
    <row r="39" spans="1:3" s="1" customFormat="1" ht="12.75">
      <c r="A39" s="12" t="str">
        <f>CONCATENATE("Rev. ",[0]!Rev,"  ·  ",TEXT([0]!Date,"mm/dd/yyyy"),"  ·  M. Smith")</f>
        <v>Rev. 3  ·  06/01/2010  ·  M. Smith</v>
      </c>
      <c r="B39" s="12"/>
      <c r="C39" s="12"/>
    </row>
  </sheetData>
  <sheetProtection password="995D" sheet="1" objects="1" scenarios="1" selectLockedCells="1"/>
  <protectedRanges>
    <protectedRange sqref="C34:D36" name="Range1"/>
  </protectedRanges>
  <mergeCells count="9">
    <mergeCell ref="A37:D37"/>
    <mergeCell ref="A1:D1"/>
    <mergeCell ref="A3:D3"/>
    <mergeCell ref="A26:D26"/>
    <mergeCell ref="A28:D28"/>
    <mergeCell ref="A34:A36"/>
    <mergeCell ref="C34:D34"/>
    <mergeCell ref="C35:D35"/>
    <mergeCell ref="C36:D36"/>
  </mergeCells>
  <printOptions horizontalCentered="1"/>
  <pageMargins left="0.25" right="0.25" top="0.5" bottom="0.5" header="0.25" footer="0.2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49"/>
  <sheetViews>
    <sheetView zoomScalePageLayoutView="0" workbookViewId="0" topLeftCell="A2">
      <selection activeCell="C8" sqref="C8"/>
    </sheetView>
  </sheetViews>
  <sheetFormatPr defaultColWidth="9.140625" defaultRowHeight="12.75"/>
  <cols>
    <col min="1" max="1" width="30.7109375" style="1" customWidth="1"/>
    <col min="2" max="2" width="10.7109375" style="1" customWidth="1"/>
    <col min="3" max="3" width="11.57421875" style="2" customWidth="1"/>
    <col min="4" max="4" width="2.8515625" style="1" customWidth="1"/>
    <col min="5" max="5" width="30.7109375" style="1" customWidth="1"/>
    <col min="6" max="6" width="10.7109375" style="1" customWidth="1"/>
    <col min="7" max="7" width="11.00390625" style="1" customWidth="1"/>
    <col min="8" max="16384" width="9.140625" style="1" customWidth="1"/>
  </cols>
  <sheetData>
    <row r="1" spans="1:7" ht="40.5" customHeight="1">
      <c r="A1" s="240" t="s">
        <v>300</v>
      </c>
      <c r="B1" s="240"/>
      <c r="C1" s="240"/>
      <c r="D1" s="240"/>
      <c r="E1" s="240"/>
      <c r="F1" s="240"/>
      <c r="G1" s="240"/>
    </row>
    <row r="2" s="2" customFormat="1" ht="10.5"/>
    <row r="3" spans="1:7" ht="12.75">
      <c r="A3" s="257" t="s">
        <v>136</v>
      </c>
      <c r="B3" s="258"/>
      <c r="C3" s="258"/>
      <c r="D3" s="258"/>
      <c r="E3" s="258"/>
      <c r="F3" s="258"/>
      <c r="G3" s="258"/>
    </row>
    <row r="4" spans="1:7" s="2" customFormat="1" ht="90" customHeight="1">
      <c r="A4" s="254" t="s">
        <v>144</v>
      </c>
      <c r="B4" s="255"/>
      <c r="C4" s="255"/>
      <c r="D4" s="255"/>
      <c r="E4" s="255"/>
      <c r="F4" s="255"/>
      <c r="G4" s="256"/>
    </row>
    <row r="5" s="2" customFormat="1" ht="11.25" thickBot="1"/>
    <row r="6" spans="1:7" ht="14.25" thickBot="1" thickTop="1">
      <c r="A6" s="253" t="s">
        <v>7</v>
      </c>
      <c r="B6" s="253"/>
      <c r="C6" s="253"/>
      <c r="D6" s="253"/>
      <c r="E6" s="253"/>
      <c r="F6" s="253"/>
      <c r="G6" s="253"/>
    </row>
    <row r="7" spans="1:7" ht="12.75" customHeight="1" thickTop="1">
      <c r="A7" s="31" t="s">
        <v>0</v>
      </c>
      <c r="B7" s="31" t="s">
        <v>8</v>
      </c>
      <c r="C7" s="41">
        <v>73</v>
      </c>
      <c r="D7" s="17"/>
      <c r="E7" s="31" t="s">
        <v>18</v>
      </c>
      <c r="F7" s="11" t="s">
        <v>19</v>
      </c>
      <c r="G7" s="42">
        <v>330</v>
      </c>
    </row>
    <row r="8" spans="1:9" ht="12.75" customHeight="1">
      <c r="A8" s="30" t="s">
        <v>79</v>
      </c>
      <c r="B8" s="30" t="s">
        <v>9</v>
      </c>
      <c r="C8" s="42">
        <v>70</v>
      </c>
      <c r="D8" s="18"/>
      <c r="E8" s="30" t="s">
        <v>5</v>
      </c>
      <c r="F8" s="3" t="s">
        <v>20</v>
      </c>
      <c r="G8" s="72">
        <v>50</v>
      </c>
      <c r="I8" s="1" t="s">
        <v>153</v>
      </c>
    </row>
    <row r="9" spans="1:7" ht="12.75" customHeight="1">
      <c r="A9" s="30" t="s">
        <v>152</v>
      </c>
      <c r="B9" s="30" t="s">
        <v>151</v>
      </c>
      <c r="C9" s="127">
        <v>110</v>
      </c>
      <c r="D9" s="18" t="s">
        <v>153</v>
      </c>
      <c r="E9" s="30" t="s">
        <v>6</v>
      </c>
      <c r="F9" s="3" t="s">
        <v>88</v>
      </c>
      <c r="G9" s="46">
        <v>15</v>
      </c>
    </row>
    <row r="10" spans="1:7" ht="12.75" customHeight="1">
      <c r="A10" s="30" t="s">
        <v>82</v>
      </c>
      <c r="B10" s="30" t="s">
        <v>10</v>
      </c>
      <c r="C10" s="42">
        <v>265</v>
      </c>
      <c r="D10" s="18" t="s">
        <v>153</v>
      </c>
      <c r="E10" s="33" t="s">
        <v>86</v>
      </c>
      <c r="F10" s="5" t="s">
        <v>85</v>
      </c>
      <c r="G10" s="47">
        <v>6</v>
      </c>
    </row>
    <row r="11" spans="1:7" ht="12.75" customHeight="1">
      <c r="A11" s="30" t="s">
        <v>1</v>
      </c>
      <c r="B11" s="30" t="s">
        <v>11</v>
      </c>
      <c r="C11" s="43">
        <v>50</v>
      </c>
      <c r="D11" s="18"/>
      <c r="E11" s="33" t="s">
        <v>70</v>
      </c>
      <c r="F11" s="4" t="s">
        <v>73</v>
      </c>
      <c r="G11" s="43">
        <v>150</v>
      </c>
    </row>
    <row r="12" spans="1:7" ht="12.75" customHeight="1">
      <c r="A12" s="30" t="s">
        <v>2</v>
      </c>
      <c r="B12" s="30" t="s">
        <v>12</v>
      </c>
      <c r="C12" s="42">
        <v>400</v>
      </c>
      <c r="D12" s="18"/>
      <c r="E12" s="33" t="s">
        <v>72</v>
      </c>
      <c r="F12" s="4" t="s">
        <v>74</v>
      </c>
      <c r="G12" s="48">
        <v>0.15</v>
      </c>
    </row>
    <row r="13" spans="1:7" ht="12.75" customHeight="1">
      <c r="A13" s="32" t="s">
        <v>13</v>
      </c>
      <c r="B13" s="30" t="s">
        <v>14</v>
      </c>
      <c r="C13" s="42">
        <v>8</v>
      </c>
      <c r="D13" s="18"/>
      <c r="E13" s="33" t="s">
        <v>78</v>
      </c>
      <c r="F13" s="4" t="s">
        <v>75</v>
      </c>
      <c r="G13" s="48">
        <v>0.1</v>
      </c>
    </row>
    <row r="14" spans="1:7" ht="12.75" customHeight="1">
      <c r="A14" s="30" t="s">
        <v>3</v>
      </c>
      <c r="B14" s="30" t="s">
        <v>15</v>
      </c>
      <c r="C14" s="42">
        <v>468</v>
      </c>
      <c r="D14" s="18"/>
      <c r="E14" s="33" t="s">
        <v>76</v>
      </c>
      <c r="F14" s="4" t="s">
        <v>77</v>
      </c>
      <c r="G14" s="48">
        <v>0.07</v>
      </c>
    </row>
    <row r="15" spans="1:7" ht="12.75" customHeight="1">
      <c r="A15" s="30" t="s">
        <v>200</v>
      </c>
      <c r="B15" s="30" t="s">
        <v>16</v>
      </c>
      <c r="C15" s="44">
        <v>400</v>
      </c>
      <c r="D15" s="18"/>
      <c r="E15" s="33" t="s">
        <v>121</v>
      </c>
      <c r="F15" s="4" t="s">
        <v>87</v>
      </c>
      <c r="G15" s="133">
        <v>1.3</v>
      </c>
    </row>
    <row r="16" spans="1:7" ht="12.75" customHeight="1">
      <c r="A16" s="30" t="s">
        <v>122</v>
      </c>
      <c r="B16" s="30" t="s">
        <v>123</v>
      </c>
      <c r="C16" s="70">
        <v>1.5</v>
      </c>
      <c r="D16" s="18" t="s">
        <v>153</v>
      </c>
      <c r="E16" s="33"/>
      <c r="F16" s="4"/>
      <c r="G16" s="4"/>
    </row>
    <row r="17" spans="1:7" ht="12.75" customHeight="1" thickBot="1">
      <c r="A17" s="30" t="s">
        <v>4</v>
      </c>
      <c r="B17" s="30" t="s">
        <v>17</v>
      </c>
      <c r="C17" s="45">
        <v>20</v>
      </c>
      <c r="D17" s="18"/>
      <c r="E17" s="33"/>
      <c r="F17" s="4"/>
      <c r="G17" s="163"/>
    </row>
    <row r="18" spans="1:7" ht="12.75" customHeight="1" thickBot="1" thickTop="1">
      <c r="A18" s="130" t="s">
        <v>159</v>
      </c>
      <c r="B18" s="130"/>
      <c r="C18" s="130"/>
      <c r="D18" s="130"/>
      <c r="E18" s="132"/>
      <c r="F18" s="132"/>
      <c r="G18" s="132"/>
    </row>
    <row r="19" spans="1:7" ht="12.75" customHeight="1" thickTop="1">
      <c r="A19" s="34" t="s">
        <v>21</v>
      </c>
      <c r="B19" s="50" t="s">
        <v>22</v>
      </c>
      <c r="C19" s="40">
        <v>0.95</v>
      </c>
      <c r="D19" s="9"/>
      <c r="E19" s="134" t="s">
        <v>156</v>
      </c>
      <c r="F19" s="134" t="s">
        <v>157</v>
      </c>
      <c r="G19" s="206">
        <v>280</v>
      </c>
    </row>
    <row r="20" spans="1:7" ht="12.75">
      <c r="A20" s="35" t="s">
        <v>32</v>
      </c>
      <c r="B20" s="35" t="s">
        <v>28</v>
      </c>
      <c r="C20" s="49">
        <v>10</v>
      </c>
      <c r="D20" s="6"/>
      <c r="E20" s="134" t="s">
        <v>160</v>
      </c>
      <c r="F20" s="134" t="s">
        <v>158</v>
      </c>
      <c r="G20" s="135">
        <f>IF(AND(ISNUMBER(Rin2),ISNUMBER(Rin1),Rin2&gt;0,Rin1&gt;0),Rin1*1000/SQRT(2)*0.000002,"Error")</f>
        <v>3.138238379715732</v>
      </c>
    </row>
    <row r="21" spans="1:7" ht="12.75">
      <c r="A21" s="35" t="s">
        <v>24</v>
      </c>
      <c r="B21" s="35" t="s">
        <v>30</v>
      </c>
      <c r="C21" s="28">
        <f>IF(AND(ISNUMBER(POUT),ISNUMBER(fLINEMIN),ISNUMBER(VOUTRIPPLE),ISNUMBER(tHOLD),ISNUMBER(VOUT),ISNUMBER(VOUTMIN),VOUTRIPPLE&gt;0,fLINEMIN&gt;=0,(VOUT^2-VOUTMIN^2)&gt;0,VOUT-VOUTRIPPLE/2&gt;VOUTMIN),IF(fLINEMIN=0,2*POUT*tHOLD*0.001/((VOUT-VOUTRIPPLE/2)^2-VOUTMIN^2)*1000000,MAX(POUT/(2*PI()*fLINEMIN*VOUT*VOUTRIPPLE),2*POUT*tHOLD*0.001/((VOUT)^2-VOUTMIN^2))*1000000),"Error")</f>
        <v>397.8873577297383</v>
      </c>
      <c r="D21" s="6"/>
      <c r="E21" s="134"/>
      <c r="F21" s="134"/>
      <c r="G21" s="134"/>
    </row>
    <row r="22" spans="1:7" ht="12.75" customHeight="1">
      <c r="A22" s="35" t="s">
        <v>25</v>
      </c>
      <c r="B22" s="35" t="s">
        <v>26</v>
      </c>
      <c r="C22" s="24">
        <f>IF(AND(ISNUMBER(η),ISNUMBER(VLINEOFF),ISNUMBER(POUT),ISNUMBER(Kmax),ISNUMBER(FSWMIN),ISNUMBER(VOUT),FSWMIN&gt;18,FSWMIN&lt;600,Kmax&gt;=1),MAX(0,MIN(η*VLINEOFF^2*(VOUT-SQRT(2)*VLINEOFF)/(2*FSWMIN*1000*VOUT*PMAXCH/Kmax),η*VLINEMAX^2*(VOUT-SQRT(2)*VLINEMAX)/(2*FSWMIN*1000*VOUT*PMAXCH/Kmax))*1000000),"Error")</f>
        <v>175.14731383759084</v>
      </c>
      <c r="D22" s="6"/>
      <c r="E22" s="134"/>
      <c r="F22" s="134"/>
      <c r="G22" s="134"/>
    </row>
    <row r="23" spans="1:7" ht="12.75">
      <c r="A23" s="35" t="s">
        <v>155</v>
      </c>
      <c r="B23" s="35" t="s">
        <v>154</v>
      </c>
      <c r="C23" s="25">
        <f>IF(ISNUMBER(POUT),POUT/2,"Error")</f>
        <v>200</v>
      </c>
      <c r="D23" s="6"/>
      <c r="E23" s="134"/>
      <c r="F23" s="134"/>
      <c r="G23" s="134"/>
    </row>
    <row r="24" spans="1:7" ht="12.75">
      <c r="A24" s="35" t="s">
        <v>23</v>
      </c>
      <c r="B24" s="35" t="s">
        <v>29</v>
      </c>
      <c r="C24" s="25">
        <f>IF(AND(ISNUMBER(POUT),ISNUMBER(Kmax),Kmax&gt;=1),Kmax*POUT/2,"Error")</f>
        <v>260</v>
      </c>
      <c r="D24" s="6"/>
      <c r="E24" s="134"/>
      <c r="F24" s="134"/>
      <c r="G24" s="134"/>
    </row>
    <row r="25" spans="1:7" ht="13.5" thickBot="1">
      <c r="A25" s="35" t="s">
        <v>27</v>
      </c>
      <c r="B25" s="35" t="s">
        <v>31</v>
      </c>
      <c r="C25" s="23">
        <f>IF(AND(ISNUMBER(L),ISNUMBER(PMAXCH),ISNUMBER(η),ISNUMBER(VLINEOFF),L&gt;0),2*L/1000000*PMAXCH/(η*VLINEOFF^2)*1000000,"Error")</f>
        <v>19.565328291202412</v>
      </c>
      <c r="D25" s="6"/>
      <c r="E25" s="134"/>
      <c r="F25" s="134"/>
      <c r="G25" s="134"/>
    </row>
    <row r="26" spans="1:7" ht="22.5" thickBot="1" thickTop="1">
      <c r="A26" s="130" t="s">
        <v>141</v>
      </c>
      <c r="B26" s="130"/>
      <c r="C26" s="130"/>
      <c r="D26" s="130"/>
      <c r="E26" s="130"/>
      <c r="F26" s="130"/>
      <c r="G26" s="130"/>
    </row>
    <row r="27" spans="1:7" ht="12.75" customHeight="1" thickTop="1">
      <c r="A27" s="36" t="s">
        <v>33</v>
      </c>
      <c r="B27" s="36" t="s">
        <v>35</v>
      </c>
      <c r="C27" s="26">
        <f>IF(AND(ISNUMBER(VLINEOFF),ISNUMBER(L),ISNUMBER(TONMAX),L&gt;0,TONMAX&gt;0),SQRT(2)*VLINEOFF/L*TONMAX,"Error")</f>
        <v>11.058512066676833</v>
      </c>
      <c r="D27" s="9"/>
      <c r="E27" s="15"/>
      <c r="F27" s="8"/>
      <c r="G27" s="8"/>
    </row>
    <row r="28" spans="1:7" ht="13.5" thickBot="1">
      <c r="A28" s="35" t="s">
        <v>34</v>
      </c>
      <c r="B28" s="35" t="s">
        <v>36</v>
      </c>
      <c r="C28" s="27">
        <f>IF(AND(ISNUMBER(PMAXCH),ISNUMBER(VOUT)),2*PMAXCH/VOUT,"Error")</f>
        <v>1.3</v>
      </c>
      <c r="D28" s="14"/>
      <c r="E28" s="16"/>
      <c r="F28" s="13"/>
      <c r="G28" s="16"/>
    </row>
    <row r="29" spans="1:7" ht="14.25" thickBot="1" thickTop="1">
      <c r="A29" s="128" t="s">
        <v>37</v>
      </c>
      <c r="B29" s="129"/>
      <c r="C29" s="129"/>
      <c r="D29" s="129"/>
      <c r="E29" s="129"/>
      <c r="F29" s="129"/>
      <c r="G29" s="129"/>
    </row>
    <row r="30" spans="1:7" ht="24.75" thickTop="1">
      <c r="A30" s="37" t="s">
        <v>38</v>
      </c>
      <c r="B30" s="37" t="s">
        <v>52</v>
      </c>
      <c r="C30" s="136">
        <f>IF(AND(ISNUMBER(N),ISNUMBER(VOUTLATCH),N&gt;0),0.5*VOUTLATCH/(N*0.0005)/1000,"Error")</f>
        <v>46.8</v>
      </c>
      <c r="D30" s="10"/>
      <c r="E30" s="37" t="s">
        <v>45</v>
      </c>
      <c r="F30" s="37" t="s">
        <v>62</v>
      </c>
      <c r="G30" s="136">
        <f>IF(AND(ISNUMBER(VOUTLATCH),ISNUMBER(Povp),Povp&gt;0),(VOUTLATCH/Povp*3.5)/1000,"Error")</f>
        <v>16.38</v>
      </c>
    </row>
    <row r="31" spans="1:7" ht="12.75">
      <c r="A31" s="38" t="s">
        <v>39</v>
      </c>
      <c r="B31" s="38" t="s">
        <v>53</v>
      </c>
      <c r="C31" s="162">
        <v>0.22</v>
      </c>
      <c r="D31" s="7"/>
      <c r="E31" s="38" t="s">
        <v>46</v>
      </c>
      <c r="F31" s="38" t="s">
        <v>63</v>
      </c>
      <c r="G31" s="54">
        <f>IF(AND(ISNUMBER(Rin2),ISNUMBER(VLINEOFF)),Rin2*VLINEOFF*SQRT(2)/0.925-Rin2,"Error")</f>
        <v>2219.069639276878</v>
      </c>
    </row>
    <row r="32" spans="1:7" ht="12.75">
      <c r="A32" s="38" t="s">
        <v>40</v>
      </c>
      <c r="B32" s="38" t="s">
        <v>54</v>
      </c>
      <c r="C32" s="137">
        <f>IF(ISNUMBER(TONMAX),((1/0.00000000023*TONMAX*0.000001)-0.0001)/1000,"Error")</f>
        <v>85.0666446443583</v>
      </c>
      <c r="D32" s="7"/>
      <c r="E32" s="38" t="s">
        <v>46</v>
      </c>
      <c r="F32" s="38" t="s">
        <v>64</v>
      </c>
      <c r="G32" s="137">
        <f>IF(AND(ISNUMBER(VLINEOFF),ISNUMBER(VLINE_OVP),ISNUMBER(pinsns)),(0.925*(SQRT(2)*VLINE_OVP)^2)/(SQRT(2)*VLINEOFF*pinsns)/1000,"Error")</f>
        <v>20.930360723121805</v>
      </c>
    </row>
    <row r="33" spans="1:7" ht="12.75">
      <c r="A33" s="38" t="s">
        <v>41</v>
      </c>
      <c r="B33" s="38" t="s">
        <v>55</v>
      </c>
      <c r="C33" s="22">
        <f>IF(AND(ISNUMBER(COUT),ISNUMBER(IOMAX),ISNUMBER(dVout_dt),ISNUMBER(Rfb1),ISNUMBER(Rfb2)),IF(AND(Rfb2&gt;0,dVout_dt&gt;0,dVout_dt&lt;=(IOMAX/(COUT*0.000001)/1000)),MAX(0.000005*(Rfb1+Rfb2)*1000/(dVout_dt*1000*Rfb2*1000)*1000000000,0.000000005*COUT*0.000001*(Rfb1+Rfb2)/(0.3*IOMAX*Rfb2)*1000000000),"Error"),"Error")</f>
        <v>444.4444444444445</v>
      </c>
      <c r="D33" s="7"/>
      <c r="E33" s="38" t="s">
        <v>47</v>
      </c>
      <c r="F33" s="38" t="s">
        <v>65</v>
      </c>
      <c r="G33" s="137">
        <f>IF(AND(ISNUMBER(VLINEON),ISNUMBER(VLINEOFF),ISNUMBER(VLineHyst),ISNUMBER(Rin2),ISNUMBER(Rin1),Rin2&gt;0,Rin1&gt;0),IF(VLINEON-VLINEOFF&gt;VLineHyst,(SQRT(2)*VLINEON-0.925*(Rin1/Rin2+1)-0.000002*Rin1*1000)/(0.000002*(Rin1/Rin2+1))/1000,0),"Error")</f>
        <v>0</v>
      </c>
    </row>
    <row r="34" spans="1:7" ht="14.25" customHeight="1">
      <c r="A34" s="38" t="s">
        <v>42</v>
      </c>
      <c r="B34" s="38" t="s">
        <v>56</v>
      </c>
      <c r="C34" s="22">
        <f>IF(AND(ISNUMBER(IOMAX),ISNUMBER(COUT),ISNUMBER(fc),ISNUMBER(VOUT),COUT&gt;0,fc&gt;0,VOUT&gt;0),0.00008*IOMAX*3/(4.1*COUT*0.000001*(2*PI()*fc)^2*VOUT)*1000000000,"Error")</f>
        <v>336.42508295847796</v>
      </c>
      <c r="D34" s="7"/>
      <c r="E34" s="38" t="s">
        <v>84</v>
      </c>
      <c r="F34" s="38" t="s">
        <v>83</v>
      </c>
      <c r="G34" s="29">
        <f>IF(AND(ISNUMBER(fLINEMIN),ISNUMBER(Rin2),ISNUMBER(Rinhyst),fLINEMIN&gt;0),1/(fLINEMIN*2)*0.02/(1000*(Rinhyst+Rin2))*1000000000,"Error")</f>
        <v>9.555497043061454</v>
      </c>
    </row>
    <row r="35" spans="1:7" ht="12.75" customHeight="1">
      <c r="A35" s="38" t="s">
        <v>43</v>
      </c>
      <c r="B35" s="38" t="s">
        <v>57</v>
      </c>
      <c r="C35" s="137">
        <f>IF(AND(ISNUMBER(fc),ISNUMBER(Ccomplf),fc&gt;0,Ccomplf&gt;0),1/(2*PI()*fc*Ccomplf*0.000000001)/1000,"Error")</f>
        <v>78.84615384615384</v>
      </c>
      <c r="D35" s="7"/>
      <c r="E35" s="38" t="s">
        <v>48</v>
      </c>
      <c r="F35" s="38" t="s">
        <v>66</v>
      </c>
      <c r="G35" s="21">
        <f>IF(AND(ISNUMBER(VDDmax),VDDmax&gt;0),VDDmax/1,"Error")</f>
        <v>15</v>
      </c>
    </row>
    <row r="36" spans="1:7" ht="12.75">
      <c r="A36" s="38" t="s">
        <v>42</v>
      </c>
      <c r="B36" s="38" t="s">
        <v>58</v>
      </c>
      <c r="C36" s="29">
        <f>IF(AND(ISNUMBER(fHFP),ISNUMBER(Rcomp),fHFP&gt;0,Rcomp&gt;0),1/(2*PI()*fHFP*Rcomp)*1000000000/1000,"Error")</f>
        <v>13.45700331833912</v>
      </c>
      <c r="D36" s="7"/>
      <c r="E36" s="38" t="s">
        <v>49</v>
      </c>
      <c r="F36" s="38" t="s">
        <v>67</v>
      </c>
      <c r="G36" s="160">
        <v>2.2</v>
      </c>
    </row>
    <row r="37" spans="1:7" ht="12.75">
      <c r="A37" s="38" t="s">
        <v>44</v>
      </c>
      <c r="B37" s="38" t="s">
        <v>59</v>
      </c>
      <c r="C37" s="54">
        <f>IF(AND(ISNUMBER(VOUT),ISNUMBER(Rfb2)),(VOUT/3-1)*Rfb2,"Error")</f>
        <v>1176.2962962962965</v>
      </c>
      <c r="D37" s="7"/>
      <c r="E37" s="38" t="s">
        <v>50</v>
      </c>
      <c r="F37" s="38" t="s">
        <v>68</v>
      </c>
      <c r="G37" s="161">
        <v>22</v>
      </c>
    </row>
    <row r="38" spans="1:7" ht="12.75">
      <c r="A38" s="38" t="s">
        <v>44</v>
      </c>
      <c r="B38" s="38" t="s">
        <v>60</v>
      </c>
      <c r="C38" s="137">
        <f>IF(AND(ISNUMBER(VOUT),ISNUMBER(pfb),pfb&gt;0),3*VOUT/(pfb*0.9)/1000,"Error")</f>
        <v>8.88888888888889</v>
      </c>
      <c r="D38" s="7"/>
      <c r="E38" s="38" t="s">
        <v>51</v>
      </c>
      <c r="F38" s="38" t="s">
        <v>69</v>
      </c>
      <c r="G38" s="19">
        <f>IF(AND(ISNUMBER(ILPK),ILPK&gt;0),0.2/ILPK,"Error")</f>
        <v>0.018085615749579006</v>
      </c>
    </row>
    <row r="39" spans="1:7" ht="12.75">
      <c r="A39" s="38" t="s">
        <v>45</v>
      </c>
      <c r="B39" s="38" t="s">
        <v>61</v>
      </c>
      <c r="C39" s="54">
        <f>IF(AND(ISNUMBER(VOUTLATCH),ISNUMBER(Rov2)),(VOUTLATCH/3.5-1)*Rov2,"Error")</f>
        <v>2173.86</v>
      </c>
      <c r="D39" s="7"/>
      <c r="E39" s="39" t="s">
        <v>71</v>
      </c>
      <c r="F39" s="39" t="s">
        <v>81</v>
      </c>
      <c r="G39" s="20">
        <f>IF(AND(ISNUMBER(ILPK),ISNUMBER(Rcs1),ISNUMBER(VLINEOFF),ISNUMBER(VOUT),VOUT&gt;0),1.5*ILPK^2*Rcs1*(1/6-4*SQRT(2)*VLINEOFF/(9*PI()*VOUT)),"Error")</f>
        <v>0.4367704167965988</v>
      </c>
    </row>
    <row r="40" spans="1:3" ht="12.75">
      <c r="A40" s="141"/>
      <c r="B40" s="141"/>
      <c r="C40" s="142"/>
    </row>
    <row r="41" spans="1:7" s="52" customFormat="1" ht="38.25" customHeight="1">
      <c r="A41" s="259" t="s">
        <v>161</v>
      </c>
      <c r="B41" s="260"/>
      <c r="C41" s="260"/>
      <c r="D41" s="260"/>
      <c r="E41" s="260"/>
      <c r="F41" s="260"/>
      <c r="G41" s="261"/>
    </row>
    <row r="44" spans="1:7" ht="12.75">
      <c r="A44" s="246" t="s">
        <v>199</v>
      </c>
      <c r="B44" s="158" t="s">
        <v>194</v>
      </c>
      <c r="C44" s="262" t="str">
        <f>Project</f>
        <v> </v>
      </c>
      <c r="D44" s="263"/>
      <c r="E44" s="263"/>
      <c r="F44" s="263"/>
      <c r="G44" s="263"/>
    </row>
    <row r="45" spans="1:7" ht="12.75">
      <c r="A45" s="247"/>
      <c r="B45" s="158" t="s">
        <v>195</v>
      </c>
      <c r="C45" s="262" t="str">
        <f>Designer</f>
        <v> </v>
      </c>
      <c r="D45" s="263"/>
      <c r="E45" s="263"/>
      <c r="F45" s="263"/>
      <c r="G45" s="263"/>
    </row>
    <row r="46" spans="1:7" ht="12.75">
      <c r="A46" s="247"/>
      <c r="B46" s="159" t="s">
        <v>90</v>
      </c>
      <c r="C46" s="264" t="str">
        <f>Date_Design</f>
        <v> </v>
      </c>
      <c r="D46" s="265"/>
      <c r="E46" s="265"/>
      <c r="F46" s="265"/>
      <c r="G46" s="265"/>
    </row>
    <row r="47" spans="1:7" ht="12.75">
      <c r="A47" s="131"/>
      <c r="B47" s="131"/>
      <c r="C47" s="131"/>
      <c r="D47" s="131"/>
      <c r="E47" s="131"/>
      <c r="F47" s="131"/>
      <c r="G47" s="131"/>
    </row>
    <row r="48" spans="1:7" ht="12.75">
      <c r="A48" s="12" t="str">
        <f>Copy_Right</f>
        <v>© 2010 Fairchild Semiconductor Corporation.  All rights reserved.</v>
      </c>
      <c r="F48" s="252" t="s">
        <v>80</v>
      </c>
      <c r="G48" s="252"/>
    </row>
    <row r="49" ht="12.75">
      <c r="A49" s="12" t="str">
        <f>CONCATENATE("Rev. ",[0]!Rev,"  ·  ",TEXT([0]!Date,"mm/dd/yyyy"),"  ·  M. Smith")</f>
        <v>Rev. 3  ·  06/01/2010  ·  M. Smith</v>
      </c>
    </row>
  </sheetData>
  <sheetProtection password="995D" sheet="1" objects="1" scenarios="1" selectLockedCells="1"/>
  <mergeCells count="10">
    <mergeCell ref="A1:G1"/>
    <mergeCell ref="F48:G48"/>
    <mergeCell ref="A6:G6"/>
    <mergeCell ref="A4:G4"/>
    <mergeCell ref="A3:G3"/>
    <mergeCell ref="A41:G41"/>
    <mergeCell ref="A44:A46"/>
    <mergeCell ref="C44:G44"/>
    <mergeCell ref="C45:G45"/>
    <mergeCell ref="C46:G46"/>
  </mergeCells>
  <conditionalFormatting sqref="C10">
    <cfRule type="expression" priority="1" dxfId="107" stopIfTrue="1">
      <formula>NOT(ISNUMBER($C$10))</formula>
    </cfRule>
    <cfRule type="expression" priority="2" dxfId="107" stopIfTrue="1">
      <formula>OR($C$10&lt;=$C$7,$C$10&lt;=$C$8)</formula>
    </cfRule>
    <cfRule type="expression" priority="3" dxfId="107" stopIfTrue="1">
      <formula>$C$10&gt;($C$8*13.7/0.925)</formula>
    </cfRule>
  </conditionalFormatting>
  <conditionalFormatting sqref="G31">
    <cfRule type="expression" priority="4" dxfId="50" stopIfTrue="1">
      <formula>NOT(ISNUMBER($G$31))</formula>
    </cfRule>
    <cfRule type="cellIs" priority="5" dxfId="50" operator="lessThan" stopIfTrue="1">
      <formula>0</formula>
    </cfRule>
  </conditionalFormatting>
  <conditionalFormatting sqref="G32">
    <cfRule type="expression" priority="6" dxfId="50" stopIfTrue="1">
      <formula>NOT(ISNUMBER($G$32))</formula>
    </cfRule>
    <cfRule type="cellIs" priority="7" dxfId="50" operator="lessThan" stopIfTrue="1">
      <formula>0</formula>
    </cfRule>
  </conditionalFormatting>
  <conditionalFormatting sqref="G34">
    <cfRule type="expression" priority="8" dxfId="50" stopIfTrue="1">
      <formula>NOT(ISNUMBER($G$34))</formula>
    </cfRule>
    <cfRule type="cellIs" priority="9" dxfId="50" operator="lessThan" stopIfTrue="1">
      <formula>0</formula>
    </cfRule>
  </conditionalFormatting>
  <conditionalFormatting sqref="G30">
    <cfRule type="expression" priority="10" dxfId="50" stopIfTrue="1">
      <formula>NOT(ISNUMBER($G$30))</formula>
    </cfRule>
    <cfRule type="cellIs" priority="11" dxfId="50" operator="lessThanOrEqual" stopIfTrue="1">
      <formula>0</formula>
    </cfRule>
  </conditionalFormatting>
  <conditionalFormatting sqref="G38">
    <cfRule type="expression" priority="12" dxfId="50" stopIfTrue="1">
      <formula>NOT(ISNUMBER($G$38))</formula>
    </cfRule>
    <cfRule type="cellIs" priority="13" dxfId="50" operator="lessThanOrEqual" stopIfTrue="1">
      <formula>0</formula>
    </cfRule>
  </conditionalFormatting>
  <conditionalFormatting sqref="G39">
    <cfRule type="expression" priority="14" dxfId="50" stopIfTrue="1">
      <formula>NOT(ISNUMBER($G$39))</formula>
    </cfRule>
    <cfRule type="cellIs" priority="15" dxfId="50" operator="lessThan" stopIfTrue="1">
      <formula>0</formula>
    </cfRule>
  </conditionalFormatting>
  <conditionalFormatting sqref="G35">
    <cfRule type="expression" priority="16" dxfId="50" stopIfTrue="1">
      <formula>NOT(ISNUMBER($G$35))</formula>
    </cfRule>
    <cfRule type="cellIs" priority="17" dxfId="50" operator="lessThan" stopIfTrue="1">
      <formula>0</formula>
    </cfRule>
  </conditionalFormatting>
  <conditionalFormatting sqref="C25">
    <cfRule type="expression" priority="18" dxfId="50" stopIfTrue="1">
      <formula>NOT(ISNUMBER($C$25))</formula>
    </cfRule>
    <cfRule type="cellIs" priority="19" dxfId="50" operator="lessThan" stopIfTrue="1">
      <formula>0</formula>
    </cfRule>
  </conditionalFormatting>
  <conditionalFormatting sqref="C30">
    <cfRule type="expression" priority="20" dxfId="50" stopIfTrue="1">
      <formula>NOT(ISNUMBER($C$30))</formula>
    </cfRule>
    <cfRule type="cellIs" priority="21" dxfId="50" operator="lessThan" stopIfTrue="1">
      <formula>0</formula>
    </cfRule>
  </conditionalFormatting>
  <conditionalFormatting sqref="C37">
    <cfRule type="expression" priority="22" dxfId="50" stopIfTrue="1">
      <formula>NOT(ISNUMBER($C$37))</formula>
    </cfRule>
    <cfRule type="cellIs" priority="23" dxfId="50" operator="lessThan" stopIfTrue="1">
      <formula>0</formula>
    </cfRule>
  </conditionalFormatting>
  <conditionalFormatting sqref="C38">
    <cfRule type="expression" priority="24" dxfId="50" stopIfTrue="1">
      <formula>NOT(ISNUMBER($C$38))</formula>
    </cfRule>
    <cfRule type="cellIs" priority="25" dxfId="50" operator="lessThanOrEqual" stopIfTrue="1">
      <formula>0</formula>
    </cfRule>
  </conditionalFormatting>
  <conditionalFormatting sqref="C39">
    <cfRule type="expression" priority="26" dxfId="50" stopIfTrue="1">
      <formula>NOT(ISNUMBER($C$39))</formula>
    </cfRule>
    <cfRule type="cellIs" priority="27" dxfId="50" operator="lessThan" stopIfTrue="1">
      <formula>0</formula>
    </cfRule>
  </conditionalFormatting>
  <conditionalFormatting sqref="C27">
    <cfRule type="expression" priority="28" dxfId="50" stopIfTrue="1">
      <formula>NOT(ISNUMBER($C$27))</formula>
    </cfRule>
    <cfRule type="cellIs" priority="29" dxfId="50" operator="lessThan" stopIfTrue="1">
      <formula>0</formula>
    </cfRule>
  </conditionalFormatting>
  <conditionalFormatting sqref="C28">
    <cfRule type="expression" priority="30" dxfId="50" stopIfTrue="1">
      <formula>NOT(ISNUMBER($C$28))</formula>
    </cfRule>
    <cfRule type="cellIs" priority="31" dxfId="50" operator="lessThan" stopIfTrue="1">
      <formula>0</formula>
    </cfRule>
  </conditionalFormatting>
  <conditionalFormatting sqref="C34">
    <cfRule type="expression" priority="32" dxfId="50" stopIfTrue="1">
      <formula>NOT(ISNUMBER($C$34))</formula>
    </cfRule>
    <cfRule type="cellIs" priority="33" dxfId="50" operator="lessThanOrEqual" stopIfTrue="1">
      <formula>0</formula>
    </cfRule>
  </conditionalFormatting>
  <conditionalFormatting sqref="C35">
    <cfRule type="expression" priority="34" dxfId="50" stopIfTrue="1">
      <formula>NOT(ISNUMBER($C$35))</formula>
    </cfRule>
    <cfRule type="cellIs" priority="35" dxfId="50" operator="lessThanOrEqual" stopIfTrue="1">
      <formula>0</formula>
    </cfRule>
  </conditionalFormatting>
  <conditionalFormatting sqref="C36">
    <cfRule type="expression" priority="36" dxfId="50" stopIfTrue="1">
      <formula>NOT(ISNUMBER($C$36))</formula>
    </cfRule>
    <cfRule type="cellIs" priority="37" dxfId="50" operator="lessThanOrEqual" stopIfTrue="1">
      <formula>0</formula>
    </cfRule>
  </conditionalFormatting>
  <conditionalFormatting sqref="C32">
    <cfRule type="expression" priority="38" dxfId="50" stopIfTrue="1">
      <formula>NOT(ISNUMBER($C$32))</formula>
    </cfRule>
    <cfRule type="cellIs" priority="39" dxfId="50" operator="notBetween" stopIfTrue="1">
      <formula>40</formula>
      <formula>130</formula>
    </cfRule>
  </conditionalFormatting>
  <conditionalFormatting sqref="C17">
    <cfRule type="expression" priority="40" dxfId="107" stopIfTrue="1">
      <formula>NOT(ISNUMBER($C$17))</formula>
    </cfRule>
    <cfRule type="cellIs" priority="41" dxfId="107" operator="lessThan" stopIfTrue="1">
      <formula>0</formula>
    </cfRule>
  </conditionalFormatting>
  <conditionalFormatting sqref="C21">
    <cfRule type="expression" priority="42" dxfId="50" stopIfTrue="1">
      <formula>NOT(ISNUMBER($C$21))</formula>
    </cfRule>
    <cfRule type="cellIs" priority="43" dxfId="50" operator="lessThanOrEqual" stopIfTrue="1">
      <formula>0</formula>
    </cfRule>
  </conditionalFormatting>
  <conditionalFormatting sqref="C22">
    <cfRule type="expression" priority="44" dxfId="50" stopIfTrue="1">
      <formula>NOT(ISNUMBER($C$22))</formula>
    </cfRule>
    <cfRule type="cellIs" priority="45" dxfId="50" operator="lessThanOrEqual" stopIfTrue="1">
      <formula>0</formula>
    </cfRule>
  </conditionalFormatting>
  <conditionalFormatting sqref="C20">
    <cfRule type="expression" priority="46" dxfId="223" stopIfTrue="1">
      <formula>AND(ISNUMBER($C$20),$C$20&lt;&gt;10)</formula>
    </cfRule>
    <cfRule type="expression" priority="47" dxfId="107" stopIfTrue="1">
      <formula>NOT(ISNUMBER($C$20))</formula>
    </cfRule>
  </conditionalFormatting>
  <conditionalFormatting sqref="C19">
    <cfRule type="expression" priority="48" dxfId="107" stopIfTrue="1">
      <formula>NOT(ISNUMBER($C$19))</formula>
    </cfRule>
    <cfRule type="expression" priority="49" dxfId="107" stopIfTrue="1">
      <formula>OR($C$19&lt;0.75,$C$19&gt;=1)</formula>
    </cfRule>
    <cfRule type="expression" priority="50" dxfId="40" stopIfTrue="1">
      <formula>$C$19&lt;&gt;0.95</formula>
    </cfRule>
  </conditionalFormatting>
  <conditionalFormatting sqref="C13">
    <cfRule type="expression" priority="51" dxfId="107" stopIfTrue="1">
      <formula>NOT(ISNUMBER($C$13))</formula>
    </cfRule>
    <cfRule type="cellIs" priority="52" dxfId="107" operator="lessThan" stopIfTrue="1">
      <formula>0</formula>
    </cfRule>
  </conditionalFormatting>
  <conditionalFormatting sqref="C11">
    <cfRule type="expression" priority="53" dxfId="107" stopIfTrue="1">
      <formula>NOT(ISNUMBER($C$11))</formula>
    </cfRule>
    <cfRule type="cellIs" priority="54" dxfId="107" operator="lessThan" stopIfTrue="1">
      <formula>0</formula>
    </cfRule>
    <cfRule type="cellIs" priority="55" dxfId="107" operator="greaterThan" stopIfTrue="1">
      <formula>400</formula>
    </cfRule>
  </conditionalFormatting>
  <conditionalFormatting sqref="C24">
    <cfRule type="expression" priority="56" dxfId="50" stopIfTrue="1">
      <formula>NOT(ISNUMBER($C$24))</formula>
    </cfRule>
    <cfRule type="cellIs" priority="57" dxfId="50" operator="lessThanOrEqual" stopIfTrue="1">
      <formula>0</formula>
    </cfRule>
    <cfRule type="cellIs" priority="58" dxfId="50" operator="greaterThan" stopIfTrue="1">
      <formula>1000</formula>
    </cfRule>
  </conditionalFormatting>
  <conditionalFormatting sqref="C12">
    <cfRule type="expression" priority="59" dxfId="107" stopIfTrue="1">
      <formula>NOT(ISNUMBER($C$12))</formula>
    </cfRule>
    <cfRule type="expression" priority="60" dxfId="107" stopIfTrue="1">
      <formula>(($C$12-SQRT(2)*$C$10)/$C$20)&lt;2</formula>
    </cfRule>
  </conditionalFormatting>
  <conditionalFormatting sqref="C14">
    <cfRule type="expression" priority="61" dxfId="107" stopIfTrue="1">
      <formula>NOT(ISNUMBER($C$14))</formula>
    </cfRule>
    <cfRule type="cellIs" priority="62" dxfId="107" operator="lessThanOrEqual" stopIfTrue="1">
      <formula>$C$12+$C$13/2</formula>
    </cfRule>
  </conditionalFormatting>
  <conditionalFormatting sqref="C15">
    <cfRule type="expression" priority="63" dxfId="107" stopIfTrue="1">
      <formula>NOT(ISNUMBER($C$15))</formula>
    </cfRule>
    <cfRule type="cellIs" priority="64" dxfId="107" operator="lessThan" stopIfTrue="1">
      <formula>0</formula>
    </cfRule>
    <cfRule type="cellIs" priority="65" dxfId="107" operator="greaterThan" stopIfTrue="1">
      <formula>1000</formula>
    </cfRule>
  </conditionalFormatting>
  <conditionalFormatting sqref="C16">
    <cfRule type="expression" priority="66" dxfId="107" stopIfTrue="1">
      <formula>NOT(ISNUMBER($C$16))</formula>
    </cfRule>
    <cfRule type="cellIs" priority="67" dxfId="107" operator="lessThanOrEqual" stopIfTrue="1">
      <formula>0</formula>
    </cfRule>
    <cfRule type="cellIs" priority="68" dxfId="107" operator="greaterThan" stopIfTrue="1">
      <formula>$C$28/(2*$C$21*0.000001)/1000</formula>
    </cfRule>
  </conditionalFormatting>
  <conditionalFormatting sqref="C33">
    <cfRule type="expression" priority="69" dxfId="50" stopIfTrue="1">
      <formula>NOT(ISNUMBER($C$33))</formula>
    </cfRule>
    <cfRule type="cellIs" priority="70" dxfId="50" operator="lessThanOrEqual" stopIfTrue="1">
      <formula>0</formula>
    </cfRule>
  </conditionalFormatting>
  <conditionalFormatting sqref="G12">
    <cfRule type="expression" priority="71" dxfId="107" stopIfTrue="1">
      <formula>NOT(ISNUMBER($G$12))</formula>
    </cfRule>
    <cfRule type="cellIs" priority="72" dxfId="107" operator="lessThanOrEqual" stopIfTrue="1">
      <formula>0</formula>
    </cfRule>
  </conditionalFormatting>
  <conditionalFormatting sqref="G14">
    <cfRule type="expression" priority="73" dxfId="107" stopIfTrue="1">
      <formula>NOT(ISNUMBER($G$14))</formula>
    </cfRule>
    <cfRule type="cellIs" priority="74" dxfId="107" operator="lessThanOrEqual" stopIfTrue="1">
      <formula>0</formula>
    </cfRule>
  </conditionalFormatting>
  <conditionalFormatting sqref="G13">
    <cfRule type="expression" priority="75" dxfId="107" stopIfTrue="1">
      <formula>NOT(ISNUMBER($G$13))</formula>
    </cfRule>
    <cfRule type="cellIs" priority="76" dxfId="107" operator="lessThanOrEqual" stopIfTrue="1">
      <formula>0</formula>
    </cfRule>
  </conditionalFormatting>
  <conditionalFormatting sqref="G10">
    <cfRule type="expression" priority="77" dxfId="107" stopIfTrue="1">
      <formula>NOT(ISNUMBER($G$10))</formula>
    </cfRule>
    <cfRule type="expression" priority="78" dxfId="107" stopIfTrue="1">
      <formula>OR($G$10&lt;$C$11/10,$G$10&gt;$C$11/5)</formula>
    </cfRule>
  </conditionalFormatting>
  <conditionalFormatting sqref="G9">
    <cfRule type="expression" priority="79" dxfId="107" stopIfTrue="1">
      <formula>NOT(ISNUMBER($G$9))</formula>
    </cfRule>
    <cfRule type="cellIs" priority="80" dxfId="107" operator="notBetween" stopIfTrue="1">
      <formula>13</formula>
      <formula>20</formula>
    </cfRule>
  </conditionalFormatting>
  <conditionalFormatting sqref="G11">
    <cfRule type="expression" priority="81" dxfId="107" stopIfTrue="1">
      <formula>NOT(ISNUMBER($G$11))</formula>
    </cfRule>
    <cfRule type="expression" priority="82" dxfId="107" stopIfTrue="1">
      <formula>OR($G$11&lt;$G$10*10,$G$11&gt;($G$8*1000)/50)</formula>
    </cfRule>
  </conditionalFormatting>
  <conditionalFormatting sqref="C8">
    <cfRule type="expression" priority="83" dxfId="107" stopIfTrue="1">
      <formula>NOT(ISNUMBER($C$8))</formula>
    </cfRule>
    <cfRule type="cellIs" priority="84" dxfId="107" operator="notBetween" stopIfTrue="1">
      <formula>0</formula>
      <formula>$C$7</formula>
    </cfRule>
  </conditionalFormatting>
  <conditionalFormatting sqref="G7">
    <cfRule type="expression" priority="85" dxfId="107" stopIfTrue="1">
      <formula>NOT(ISNUMBER($G$7))</formula>
    </cfRule>
    <cfRule type="expression" priority="86" dxfId="179" stopIfTrue="1">
      <formula>$G$7&gt;=$C$12-(0.5*$C$13)</formula>
    </cfRule>
  </conditionalFormatting>
  <conditionalFormatting sqref="G8">
    <cfRule type="expression" priority="87" dxfId="107" stopIfTrue="1">
      <formula>NOT(ISNUMBER($G$8))</formula>
    </cfRule>
    <cfRule type="cellIs" priority="88" dxfId="107" operator="notBetween" stopIfTrue="1">
      <formula>18</formula>
      <formula>600</formula>
    </cfRule>
  </conditionalFormatting>
  <conditionalFormatting sqref="C7">
    <cfRule type="expression" priority="89" dxfId="107" stopIfTrue="1">
      <formula>NOT(ISNUMBER($C$7))</formula>
    </cfRule>
    <cfRule type="expression" priority="90" dxfId="179" stopIfTrue="1">
      <formula>$C$7&lt;=(0.000002*($C$8*3.7/0.925)^2/$G$14+$C$8)</formula>
    </cfRule>
  </conditionalFormatting>
  <conditionalFormatting sqref="G15 G17">
    <cfRule type="expression" priority="91" dxfId="107" stopIfTrue="1">
      <formula>NOT(ISNUMBER($G$15))</formula>
    </cfRule>
    <cfRule type="cellIs" priority="92" dxfId="107" operator="lessThan" stopIfTrue="1">
      <formula>1</formula>
    </cfRule>
  </conditionalFormatting>
  <conditionalFormatting sqref="G20">
    <cfRule type="expression" priority="93" dxfId="50" stopIfTrue="1">
      <formula>NOT(ISNUMBER($G$20))</formula>
    </cfRule>
    <cfRule type="cellIs" priority="94" dxfId="50" operator="lessThanOrEqual" stopIfTrue="1">
      <formula>0</formula>
    </cfRule>
  </conditionalFormatting>
  <conditionalFormatting sqref="G19">
    <cfRule type="expression" priority="95" dxfId="50" stopIfTrue="1">
      <formula>NOT(ISNUMBER($G$19))</formula>
    </cfRule>
    <cfRule type="cellIs" priority="96" dxfId="50" operator="lessThanOrEqual" stopIfTrue="1">
      <formula>$C$10</formula>
    </cfRule>
  </conditionalFormatting>
  <conditionalFormatting sqref="C9">
    <cfRule type="expression" priority="97" dxfId="50" stopIfTrue="1">
      <formula>NOT(ISNUMBER($C$9))</formula>
    </cfRule>
    <cfRule type="cellIs" priority="98" dxfId="50" operator="notBetween" stopIfTrue="1">
      <formula>$C$8</formula>
      <formula>$C$10</formula>
    </cfRule>
  </conditionalFormatting>
  <conditionalFormatting sqref="C23">
    <cfRule type="expression" priority="99" dxfId="50" stopIfTrue="1">
      <formula>NOT(ISNUMBER($C$23))</formula>
    </cfRule>
    <cfRule type="cellIs" priority="100" dxfId="50" operator="lessThanOrEqual" stopIfTrue="1">
      <formula>0</formula>
    </cfRule>
    <cfRule type="cellIs" priority="101" dxfId="50" operator="greaterThan" stopIfTrue="1">
      <formula>1000</formula>
    </cfRule>
  </conditionalFormatting>
  <conditionalFormatting sqref="G33">
    <cfRule type="expression" priority="102" dxfId="166" stopIfTrue="1">
      <formula>NOT(ISNUMBER($G$33))</formula>
    </cfRule>
    <cfRule type="cellIs" priority="103" dxfId="166" operator="lessThan" stopIfTrue="1">
      <formula>0</formula>
    </cfRule>
  </conditionalFormatting>
  <dataValidations count="1">
    <dataValidation allowBlank="1" sqref="C7"/>
  </dataValidations>
  <printOptions horizontalCentered="1"/>
  <pageMargins left="0.25" right="0.25" top="0.5" bottom="0.5" header="0.25" footer="0.25"/>
  <pageSetup horizontalDpi="600" verticalDpi="600" orientation="portrait" scale="95" r:id="rId4"/>
  <drawing r:id="rId3"/>
  <legacyDrawing r:id="rId2"/>
</worksheet>
</file>

<file path=xl/worksheets/sheet5.xml><?xml version="1.0" encoding="utf-8"?>
<worksheet xmlns="http://schemas.openxmlformats.org/spreadsheetml/2006/main" xmlns:r="http://schemas.openxmlformats.org/officeDocument/2006/relationships">
  <dimension ref="A1:G58"/>
  <sheetViews>
    <sheetView zoomScalePageLayoutView="0" workbookViewId="0" topLeftCell="A1">
      <selection activeCell="B9" sqref="B9"/>
    </sheetView>
  </sheetViews>
  <sheetFormatPr defaultColWidth="9.140625" defaultRowHeight="12.75"/>
  <cols>
    <col min="1" max="3" width="17.421875" style="74" customWidth="1"/>
    <col min="4" max="4" width="2.7109375" style="74" customWidth="1"/>
    <col min="5" max="7" width="17.421875" style="74" customWidth="1"/>
    <col min="8" max="16384" width="9.140625" style="74" customWidth="1"/>
  </cols>
  <sheetData>
    <row r="1" spans="1:7" s="73" customFormat="1" ht="40.5" customHeight="1">
      <c r="A1" s="269" t="s">
        <v>301</v>
      </c>
      <c r="B1" s="269"/>
      <c r="C1" s="269"/>
      <c r="D1" s="269"/>
      <c r="E1" s="269"/>
      <c r="F1" s="269"/>
      <c r="G1" s="269"/>
    </row>
    <row r="2" ht="6.75" customHeight="1"/>
    <row r="3" spans="1:7" ht="23.25" customHeight="1">
      <c r="A3" s="277" t="s">
        <v>139</v>
      </c>
      <c r="B3" s="277"/>
      <c r="C3" s="277"/>
      <c r="D3" s="277"/>
      <c r="E3" s="277"/>
      <c r="F3" s="277"/>
      <c r="G3" s="277"/>
    </row>
    <row r="4" spans="1:7" ht="75.75" customHeight="1">
      <c r="A4" s="259" t="s">
        <v>145</v>
      </c>
      <c r="B4" s="260"/>
      <c r="C4" s="260"/>
      <c r="D4" s="260"/>
      <c r="E4" s="260"/>
      <c r="F4" s="260"/>
      <c r="G4" s="261"/>
    </row>
    <row r="5" ht="6" customHeight="1"/>
    <row r="6" spans="1:7" ht="12.75" customHeight="1">
      <c r="A6" s="271" t="s">
        <v>124</v>
      </c>
      <c r="B6" s="272"/>
      <c r="C6" s="272"/>
      <c r="D6" s="272"/>
      <c r="E6" s="272"/>
      <c r="F6" s="272"/>
      <c r="G6" s="273"/>
    </row>
    <row r="7" spans="1:7" ht="10.5">
      <c r="A7" s="75" t="s">
        <v>91</v>
      </c>
      <c r="B7" s="75" t="s">
        <v>109</v>
      </c>
      <c r="C7" s="75" t="s">
        <v>110</v>
      </c>
      <c r="D7" s="76"/>
      <c r="E7" s="77" t="s">
        <v>111</v>
      </c>
      <c r="F7" s="77" t="s">
        <v>112</v>
      </c>
      <c r="G7" s="77" t="s">
        <v>113</v>
      </c>
    </row>
    <row r="8" spans="1:7" ht="12">
      <c r="A8" s="78" t="s">
        <v>59</v>
      </c>
      <c r="B8" s="165">
        <v>1066</v>
      </c>
      <c r="C8" s="79">
        <f>IF(ISNUMBER(Rfb1),Rfb1,"Error")</f>
        <v>1176.2962962962965</v>
      </c>
      <c r="D8" s="80"/>
      <c r="E8" s="81" t="s">
        <v>92</v>
      </c>
      <c r="F8" s="82">
        <f>IF(AND(ISNUMBER(Rfb2_actual),ISNUMBER(Rfb1_actual),Rfb2_actual&gt;0,Rfb1_actual&gt;0),3*(Rfb2_actual+Rfb1_actual)/Rfb2_actual,"Error")</f>
        <v>399.7741935483871</v>
      </c>
      <c r="G8" s="83">
        <f>IF(ISNUMBER(VOUT),VOUT,"Error")</f>
        <v>400</v>
      </c>
    </row>
    <row r="9" spans="1:7" ht="12">
      <c r="A9" s="78" t="s">
        <v>60</v>
      </c>
      <c r="B9" s="166">
        <v>8.06</v>
      </c>
      <c r="C9" s="138">
        <f>IF(ISNUMBER(Rfb2),Rfb2,"Error")</f>
        <v>8.88888888888889</v>
      </c>
      <c r="D9" s="80"/>
      <c r="E9" s="81" t="s">
        <v>74</v>
      </c>
      <c r="F9" s="85">
        <f>IF(AND(ISNUMBER(Vout_actual),ISNUMBER(Rfb2_actual),ISNUMBER(Rfb1_actual),Vout_actual&gt;VLINEMAX*SQRT(2)),Vout_actual^2/(1000*(Rfb2_actual+Rfb1_actual)),"Error")</f>
        <v>0.14879932762346912</v>
      </c>
      <c r="G9" s="86">
        <f>IF(ISNUMBER(pfb),pfb,"Error")</f>
        <v>0.15</v>
      </c>
    </row>
    <row r="10" spans="1:7" s="87" customFormat="1" ht="12.75" customHeight="1">
      <c r="A10" s="270" t="s">
        <v>125</v>
      </c>
      <c r="B10" s="270"/>
      <c r="C10" s="270"/>
      <c r="D10" s="270"/>
      <c r="E10" s="270"/>
      <c r="F10" s="270"/>
      <c r="G10" s="270"/>
    </row>
    <row r="11" spans="1:7" ht="10.5">
      <c r="A11" s="75" t="s">
        <v>91</v>
      </c>
      <c r="B11" s="75" t="s">
        <v>109</v>
      </c>
      <c r="C11" s="75" t="s">
        <v>110</v>
      </c>
      <c r="D11" s="88"/>
      <c r="E11" s="77" t="s">
        <v>111</v>
      </c>
      <c r="F11" s="77" t="s">
        <v>112</v>
      </c>
      <c r="G11" s="77" t="s">
        <v>113</v>
      </c>
    </row>
    <row r="12" spans="1:7" ht="12">
      <c r="A12" s="78" t="s">
        <v>61</v>
      </c>
      <c r="B12" s="165">
        <v>2190</v>
      </c>
      <c r="C12" s="79">
        <f>IF(ISNUMBER(Rov1),Rov1,"Error")</f>
        <v>2173.86</v>
      </c>
      <c r="D12" s="89"/>
      <c r="E12" s="81" t="s">
        <v>93</v>
      </c>
      <c r="F12" s="82">
        <f>IF(AND(ISNUMBER(Rov1_actual),ISNUMBER(Rov2_actual),Rov1_actual&gt;0,Rov2_actual&gt;0),3.5*(Rov1_actual+Rov2_actual)/Rov2_actual,"Error")</f>
        <v>468.04545454545456</v>
      </c>
      <c r="G12" s="83">
        <f>IF(ISNUMBER(VOUTLATCH),VOUTLATCH,"Error")</f>
        <v>468</v>
      </c>
    </row>
    <row r="13" spans="1:7" ht="12">
      <c r="A13" s="78" t="s">
        <v>62</v>
      </c>
      <c r="B13" s="166">
        <v>16.5</v>
      </c>
      <c r="C13" s="138">
        <f>IF(ISNUMBER(Rov2),Rov2,"Error")</f>
        <v>16.38</v>
      </c>
      <c r="D13" s="89"/>
      <c r="E13" s="81" t="s">
        <v>94</v>
      </c>
      <c r="F13" s="85">
        <f>IF(AND(ISNUMBER(Vout_actual),ISNUMBER(Rov1_actual),ISNUMBER(Rov2_actual),Rov1_actual&gt;0,Rov2_actual&gt;0),Vout_actual^2/(1000*(Rov1_actual+Rov2_actual)),"Error")</f>
        <v>0.07243118324371776</v>
      </c>
      <c r="G13" s="86">
        <f>IF(ISNUMBER(Povp),Povp,"Error")</f>
        <v>0.1</v>
      </c>
    </row>
    <row r="14" spans="1:7" s="87" customFormat="1" ht="12.75" customHeight="1">
      <c r="A14" s="274" t="s">
        <v>126</v>
      </c>
      <c r="B14" s="275"/>
      <c r="C14" s="275"/>
      <c r="D14" s="275"/>
      <c r="E14" s="275"/>
      <c r="F14" s="275"/>
      <c r="G14" s="276"/>
    </row>
    <row r="15" spans="1:7" ht="10.5">
      <c r="A15" s="75" t="s">
        <v>91</v>
      </c>
      <c r="B15" s="75" t="s">
        <v>109</v>
      </c>
      <c r="C15" s="75" t="s">
        <v>110</v>
      </c>
      <c r="D15" s="88"/>
      <c r="E15" s="77" t="s">
        <v>111</v>
      </c>
      <c r="F15" s="77" t="s">
        <v>112</v>
      </c>
      <c r="G15" s="77" t="s">
        <v>113</v>
      </c>
    </row>
    <row r="16" spans="1:7" ht="12">
      <c r="A16" s="78" t="s">
        <v>63</v>
      </c>
      <c r="B16" s="165">
        <v>2226</v>
      </c>
      <c r="C16" s="79">
        <f>IF(ISNUMBER(Rin1),Rin1,"Error")</f>
        <v>2219.069639276878</v>
      </c>
      <c r="D16" s="89"/>
      <c r="E16" s="81" t="s">
        <v>95</v>
      </c>
      <c r="F16" s="82">
        <f>IF(AND(ISNUMBER(Rin1_actual),ISNUMBER(Rin2_actual),Rin1_actual&gt;0,Rin2_actual&gt;0),(0.925*(Rin1_actual+Rin2_actual)/(Rin2_actual))/SQRT(2),"Error")</f>
        <v>69.98589366793853</v>
      </c>
      <c r="G16" s="83">
        <f>IF(ISNUMBER(VLINEOFF),VLINEOFF,"Error")</f>
        <v>70</v>
      </c>
    </row>
    <row r="17" spans="1:7" ht="12">
      <c r="A17" s="78" t="s">
        <v>64</v>
      </c>
      <c r="B17" s="166">
        <v>21</v>
      </c>
      <c r="C17" s="138">
        <f>IF(ISNUMBER(Rin2),Rin2,"Error")</f>
        <v>20.930360723121805</v>
      </c>
      <c r="D17" s="89"/>
      <c r="E17" s="81" t="s">
        <v>96</v>
      </c>
      <c r="F17" s="82">
        <f>IF(AND(ISNUMBER(Rinhyst_actual),ISNUMBER(Rin1_actual),ISNUMBER(Rin2_actual),Rinhyst_actual&gt;=0,Rin2_actual&gt;0,Rin1_actual&gt;0),(Rin1_actual*0.002+Rin1_actual/Rin2_actual*(Rinhyst_actual*0.002+0.925)+Rinhyst_actual*0.002+0.925)/SQRT(2),"Error")</f>
        <v>73.13393305778105</v>
      </c>
      <c r="G17" s="83">
        <f>IF(ISNUMBER(VLINEON),VLINEON,"Error")</f>
        <v>73</v>
      </c>
    </row>
    <row r="18" spans="1:7" ht="12">
      <c r="A18" s="78" t="s">
        <v>65</v>
      </c>
      <c r="B18" s="166">
        <v>0</v>
      </c>
      <c r="C18" s="139">
        <f>IF(AND(ISNUMBER(VLINEON),ISNUMBER(VLINEOFF),ISNUMBER(VLineHyst),ISNUMBER(Rin2_actual),ISNUMBER(Rin1_actual),Rin2_actual&gt;0,Rin1_actual&gt;0),IF(VLINEON-VLINEOFF&gt;VLineHyst,(SQRT(2)*VLINEON-0.925*(Rin1_actual/Rin2_actual+1)-0.000002*Rin1_actual*1000)/(0.000002*(Rin1_actual/Rin2_actual+1))/1000,0),"Error")</f>
        <v>0</v>
      </c>
      <c r="D18" s="89"/>
      <c r="E18" s="81" t="s">
        <v>97</v>
      </c>
      <c r="F18" s="85">
        <f>IF(AND(ISNUMBER(VLINEMAX),ISNUMBER(Rin1_actual),ISNUMBER(Rin2_actual),VLINEMAX&gt;0,Rin1_actual&gt;0,Rin2_actual&gt;0),(SQRT(2)*VLINEMAX)^2/(Rin1_actual+Rin2_actual)/1000,"Error")</f>
        <v>0.06250556297285269</v>
      </c>
      <c r="G18" s="86">
        <f>IF(ISNUMBER(pinsns),pinsns,"Error")</f>
        <v>0.07</v>
      </c>
    </row>
    <row r="19" spans="1:7" ht="12">
      <c r="A19" s="78" t="s">
        <v>83</v>
      </c>
      <c r="B19" s="167">
        <v>10</v>
      </c>
      <c r="C19" s="90">
        <f>IF(AND(ISNUMBER(fLINEMIN),ISNUMBER(Rin2_actual),ISNUMBER(Rinhyst_actual),fLINEMIN&gt;0),1/(fLINEMIN*2)*0.02/(1000*(Rinhyst_actual+Rin2_actual))*1000000000,"Error")</f>
        <v>9.523809523809524</v>
      </c>
      <c r="D19" s="91"/>
      <c r="E19" s="92" t="s">
        <v>142</v>
      </c>
      <c r="F19" s="93">
        <f>1/(2*PI()*(Rinhyst_actual+Rin2_actual)*1000*Cinf_actual*0.000000001)</f>
        <v>757.8806813899777</v>
      </c>
      <c r="G19" s="94">
        <f>1/(2*PI()*(Rinhyst_actual+Rin2_actual)*1000*C19*0.000000001)</f>
        <v>795.7747154594767</v>
      </c>
    </row>
    <row r="20" spans="1:7" s="87" customFormat="1" ht="12.75" customHeight="1">
      <c r="A20" s="270" t="s">
        <v>127</v>
      </c>
      <c r="B20" s="270"/>
      <c r="C20" s="270"/>
      <c r="D20" s="270"/>
      <c r="E20" s="270"/>
      <c r="F20" s="270"/>
      <c r="G20" s="270"/>
    </row>
    <row r="21" spans="1:7" ht="10.5">
      <c r="A21" s="75" t="s">
        <v>91</v>
      </c>
      <c r="B21" s="75" t="s">
        <v>109</v>
      </c>
      <c r="C21" s="75" t="s">
        <v>110</v>
      </c>
      <c r="D21" s="88"/>
      <c r="E21" s="77" t="s">
        <v>111</v>
      </c>
      <c r="F21" s="77" t="s">
        <v>112</v>
      </c>
      <c r="G21" s="77" t="s">
        <v>113</v>
      </c>
    </row>
    <row r="22" spans="1:7" ht="12">
      <c r="A22" s="78" t="s">
        <v>54</v>
      </c>
      <c r="B22" s="166">
        <v>84.5</v>
      </c>
      <c r="C22" s="79">
        <f>IF(ISNUMBER(Rmot),Rmot,"Error")</f>
        <v>85.0666446443583</v>
      </c>
      <c r="D22" s="89"/>
      <c r="E22" s="81" t="s">
        <v>98</v>
      </c>
      <c r="F22" s="95">
        <f>IF(AND(ISNUMBER(Rmot_actual),Rmot_actual&gt;0),(Rmot_actual*1000+0.0001)*0.00000000023*1000000,"Error")</f>
        <v>19.435000023</v>
      </c>
      <c r="G22" s="96">
        <f>IF(ISNUMBER(TONMAX),TONMAX,"Error")</f>
        <v>19.565328291202412</v>
      </c>
    </row>
    <row r="23" spans="1:7" s="87" customFormat="1" ht="12.75" customHeight="1">
      <c r="A23" s="270" t="s">
        <v>128</v>
      </c>
      <c r="B23" s="270"/>
      <c r="C23" s="270"/>
      <c r="D23" s="270"/>
      <c r="E23" s="270"/>
      <c r="F23" s="270"/>
      <c r="G23" s="270"/>
    </row>
    <row r="24" spans="1:7" ht="10.5">
      <c r="A24" s="75" t="s">
        <v>91</v>
      </c>
      <c r="B24" s="75" t="s">
        <v>109</v>
      </c>
      <c r="C24" s="75" t="s">
        <v>110</v>
      </c>
      <c r="D24" s="88"/>
      <c r="E24" s="77" t="s">
        <v>111</v>
      </c>
      <c r="F24" s="77" t="s">
        <v>112</v>
      </c>
      <c r="G24" s="77" t="s">
        <v>113</v>
      </c>
    </row>
    <row r="25" spans="1:7" ht="12">
      <c r="A25" s="78" t="s">
        <v>26</v>
      </c>
      <c r="B25" s="168">
        <v>180</v>
      </c>
      <c r="C25" s="97">
        <f>IF(AND(ISNUMBER(η),ISNUMBER(Vlineoff_actual),ISNUMBER(POUT),ISNUMBER(Kmax),ISNUMBER(FSWMIN),ISNUMBER(Vout_actual),FSWMIN&gt;18,FSWMIN&lt;600,Kmax&gt;=1),MAX(0,MIN(η*Vlineoff_actual^2*(Vout_actual-SQRT(2)*Vlineoff_actual)/(2*FSWMIN*1000*Vout_actual*PMAXCH/Kmax),η*VLINEMAX^2*(Vout_actual-SQRT(2)*VLINEMAX)/(2*FSWMIN*1000*Vout_actual*PMAXCH/Kmax))*1000000),"Error")</f>
        <v>175.05581692971361</v>
      </c>
      <c r="D25" s="91"/>
      <c r="E25" s="81" t="s">
        <v>99</v>
      </c>
      <c r="F25" s="98">
        <f>IF(AND(ISNUMBER(tonmax_actual),ISNUMBER(η),ISNUMBER(Vlineoff_actual),ISNUMBER(L_actual),tonmax_actual&gt;0,η&lt;1,η&gt;0,Vlineoff_actual&gt;0,L_actual&gt;0),0.000001*tonmax_actual*η*Vlineoff_actual^2/(2*L_actual*0.000001),"Error")</f>
        <v>251.2040721056596</v>
      </c>
      <c r="G25" s="99">
        <f>IF(ISNUMBER(PMAXCH),PMAXCH,"Error")</f>
        <v>260</v>
      </c>
    </row>
    <row r="26" spans="1:7" ht="12">
      <c r="A26" s="100"/>
      <c r="B26" s="101"/>
      <c r="C26" s="100"/>
      <c r="D26" s="91"/>
      <c r="E26" s="81" t="s">
        <v>102</v>
      </c>
      <c r="F26" s="102">
        <f>IF(AND(ISNUMBER(Pmaxch_actual),ISNUMBER(Vout_actual),Pmaxch_actual&gt;0,Vout_actual&gt;0),2*Pmaxch_actual/Vout_actual,"Error")</f>
        <v>1.256729804772928</v>
      </c>
      <c r="G26" s="103">
        <f>IF(ISNUMBER(IOMAX),IOMAX,"Error")</f>
        <v>1.3</v>
      </c>
    </row>
    <row r="27" spans="1:7" ht="12">
      <c r="A27" s="100"/>
      <c r="B27" s="101"/>
      <c r="C27" s="100"/>
      <c r="D27" s="91"/>
      <c r="E27" s="81" t="s">
        <v>100</v>
      </c>
      <c r="F27" s="104">
        <f>IF(AND(ISNUMBER(VLINEMAX),ISNUMBER(η),ISNUMBER(Vout_actual),ISNUMBER(L_actual),ISNUMBER(POUT),ISNUMBER(Vlineoff_actual),η&gt;0,η&lt;1,Vout_actual&gt;0,L_actual&gt;0,Pmaxch_actual&gt;0,Vlineoff_actual&gt;0),MIN(η*VLINEMAX^2*(Vout_actual-SQRT(2)*VLINEMAX)/(0.000001*L_actual*Vout_actual*2*(Pmaxch_actual/Kmax)),η*Vlineoff_actual^2*(Vout_actual-SQRT(2)*Vlineoff_actual)/(0.000001*L_actual*Vout_actual*2*(Pmaxch_actual/Kmax)))/1000,"Error")</f>
        <v>50.32928011721346</v>
      </c>
      <c r="G27" s="105">
        <f>IF(ISNUMBER(FSWMIN),FSWMIN,"Error")</f>
        <v>50</v>
      </c>
    </row>
    <row r="28" spans="1:7" s="87" customFormat="1" ht="12.75" customHeight="1">
      <c r="A28" s="270" t="s">
        <v>129</v>
      </c>
      <c r="B28" s="270"/>
      <c r="C28" s="270"/>
      <c r="D28" s="270"/>
      <c r="E28" s="270"/>
      <c r="F28" s="270"/>
      <c r="G28" s="270"/>
    </row>
    <row r="29" spans="1:7" ht="10.5">
      <c r="A29" s="75" t="s">
        <v>91</v>
      </c>
      <c r="B29" s="75" t="s">
        <v>109</v>
      </c>
      <c r="C29" s="75" t="s">
        <v>110</v>
      </c>
      <c r="D29" s="88"/>
      <c r="E29" s="77" t="s">
        <v>111</v>
      </c>
      <c r="F29" s="77" t="s">
        <v>112</v>
      </c>
      <c r="G29" s="77" t="s">
        <v>113</v>
      </c>
    </row>
    <row r="30" spans="1:7" ht="12">
      <c r="A30" s="78" t="s">
        <v>69</v>
      </c>
      <c r="B30" s="169">
        <v>0.02</v>
      </c>
      <c r="C30" s="106">
        <f>IF(AND(ISNUMBER(L),ISNUMBER(tonmax_actual),ISNUMBER(Vlineoff_actual),L_actual&gt;0,tonmax_actual&gt;0,Vlineoff_actual&gt;0),0.2*L_actual/(tonmax_actual*SQRT(2)*Vlineoff_actual),"Error")</f>
        <v>0.018715112619761068</v>
      </c>
      <c r="D30" s="91"/>
      <c r="E30" s="81" t="s">
        <v>101</v>
      </c>
      <c r="F30" s="102">
        <f>IF(ISNUMBER(Rcsx_actual),0.2/Rcsx_actual,"Error")</f>
        <v>10</v>
      </c>
      <c r="G30" s="103">
        <f>IF(ISNUMBER(ILPK),ILPK,"Error")</f>
        <v>11.058512066676833</v>
      </c>
    </row>
    <row r="31" spans="1:7" s="87" customFormat="1" ht="12.75" customHeight="1">
      <c r="A31" s="270" t="s">
        <v>130</v>
      </c>
      <c r="B31" s="270"/>
      <c r="C31" s="270"/>
      <c r="D31" s="270"/>
      <c r="E31" s="270"/>
      <c r="F31" s="270"/>
      <c r="G31" s="270"/>
    </row>
    <row r="32" spans="1:7" ht="10.5">
      <c r="A32" s="75" t="s">
        <v>91</v>
      </c>
      <c r="B32" s="75" t="s">
        <v>109</v>
      </c>
      <c r="C32" s="75" t="s">
        <v>110</v>
      </c>
      <c r="D32" s="88"/>
      <c r="E32" s="77" t="s">
        <v>111</v>
      </c>
      <c r="F32" s="77" t="s">
        <v>112</v>
      </c>
      <c r="G32" s="77" t="s">
        <v>113</v>
      </c>
    </row>
    <row r="33" spans="1:7" ht="12">
      <c r="A33" s="78" t="s">
        <v>30</v>
      </c>
      <c r="B33" s="170">
        <v>440</v>
      </c>
      <c r="C33" s="108">
        <f>IF(AND(ISNUMBER(POUT),ISNUMBER(fLINEMIN),ISNUMBER(Vout_actual),ISNUMBER(VOUTRIPPLE),ISNUMBER(tHOLD),ISNUMBER(VOUTMIN),POUT&gt;0,fLINEMIN&gt;=0,Vout_actual&gt;0,VOUTRIPPLE&gt;=0,tHOLD&gt;=0,VOUTMIN&gt;=0),MAX(POUT/(2*PI()*fLINEMIN*Vout_actual*VOUTRIPPLE),2*POUT*tHOLD*0.001/((Vout_actual)^2-VOUTMIN^2))*1000000,"Error")</f>
        <v>398.1120984304652</v>
      </c>
      <c r="D33" s="91"/>
      <c r="E33" s="81" t="s">
        <v>103</v>
      </c>
      <c r="F33" s="109">
        <f>IF(AND(ISNUMBER(POUT),ISNUMBER(fLINEMIN),ISNUMBER(Vout_actual),ISNUMBER(Cout_actual),POUT&gt;0,fLINEMIN&gt;=0,Vout_actual&gt;0,Cout_actual&gt;0),POUT/(2*PI()*fLINEMIN*Vout_actual*Cout_actual/1000000),"Error")</f>
        <v>7.238401789644823</v>
      </c>
      <c r="G33" s="110">
        <f>IF(ISNUMBER(VOUTRIPPLE),VOUTRIPPLE,"Error")</f>
        <v>8</v>
      </c>
    </row>
    <row r="34" spans="1:7" ht="12">
      <c r="A34" s="100"/>
      <c r="B34" s="101"/>
      <c r="C34" s="100"/>
      <c r="D34" s="91"/>
      <c r="E34" s="81" t="s">
        <v>104</v>
      </c>
      <c r="F34" s="111">
        <f>IF(AND(ISNUMBER(Cout_actual),ISNUMBER(Vout_actual),ISNUMBER(Voutripple_actual),ISNUMBER(VOUTMIN),ISNUMBER(POUT),Cout_actual&gt;0,Voutripple_actual&gt;0,VOUTMIN&gt;0,POUT&gt;0),Cout_actual/1000000*((Vout_actual)^2-VOUTMIN^2)/(2*POUT)*1000,"Error")</f>
        <v>28.00567320499479</v>
      </c>
      <c r="G34" s="112">
        <f>tHOLD</f>
        <v>20</v>
      </c>
    </row>
    <row r="35" spans="1:7" ht="12">
      <c r="A35" s="100"/>
      <c r="B35" s="101"/>
      <c r="C35" s="100"/>
      <c r="D35" s="91"/>
      <c r="E35" s="81" t="s">
        <v>105</v>
      </c>
      <c r="F35" s="82">
        <f>IF(AND(ISNUMBER(Vout_actual),ISNUMBER(POUT),ISNUMBER(tHOLD),ISNUMBER(Cout_actual),POUT&gt;0,tHOLD&gt;=0,Cout_actual&gt;0,ISNUMBER(SQRT(Vout_actual^2-(2*POUT*tHOLD/1000/(Cout_actual/1000000))))),SQRT(Vout_actual^2-(2*POUT*tHOLD/1000/(Cout_actual/1000000))),"Error")</f>
        <v>351.3627320357509</v>
      </c>
      <c r="G35" s="83">
        <f>IF(ISNUMBER(VOUTMIN),VOUTMIN,"Error")</f>
        <v>330</v>
      </c>
    </row>
    <row r="36" spans="1:7" s="87" customFormat="1" ht="12.75" customHeight="1">
      <c r="A36" s="274" t="s">
        <v>131</v>
      </c>
      <c r="B36" s="275"/>
      <c r="C36" s="275"/>
      <c r="D36" s="275"/>
      <c r="E36" s="275"/>
      <c r="F36" s="275"/>
      <c r="G36" s="276"/>
    </row>
    <row r="37" spans="1:7" ht="10.5">
      <c r="A37" s="75" t="s">
        <v>91</v>
      </c>
      <c r="B37" s="75" t="s">
        <v>109</v>
      </c>
      <c r="C37" s="75" t="s">
        <v>110</v>
      </c>
      <c r="D37" s="88"/>
      <c r="E37" s="77" t="s">
        <v>111</v>
      </c>
      <c r="F37" s="77" t="s">
        <v>112</v>
      </c>
      <c r="G37" s="77" t="s">
        <v>113</v>
      </c>
    </row>
    <row r="38" spans="1:7" ht="12">
      <c r="A38" s="78" t="s">
        <v>56</v>
      </c>
      <c r="B38" s="171">
        <v>390</v>
      </c>
      <c r="C38" s="113">
        <f>IF(AND(ISNUMBER(Iopk_actual),ISNUMBER(Rfb2_actual),ISNUMBER(Cout_actual),ISNUMBER(fc),ISNUMBER(Rfb1_actual),Iopk_actual&gt;0,Rfb2_actual&gt;0,Cout_actual&gt;0,fc&gt;=0,Rfb1_actual&gt;0),0.0001*Iopk_actual*Rfb2_actual*1000/(4.1*Cout_actual/1000000*(2*PI()*fc)^2*(Rfb2_actual*1000+Rfb1_actual*1000))*1000000000,"Error")</f>
        <v>367.8321140235464</v>
      </c>
      <c r="D38" s="91"/>
      <c r="E38" s="81" t="s">
        <v>106</v>
      </c>
      <c r="F38" s="114">
        <f>IF(AND(ISNUMBER(Rcomp_actual),ISNUMBER(Ccomplf_actual),Rcomp_actual&gt;=0,Ccomplf_actual&gt;0),1/(2*PI()*Rcomp_actual*1000*Ccomplf_actual/1000000000),"Error")</f>
        <v>5.99250510530876</v>
      </c>
      <c r="G38" s="115">
        <f>IF(ISNUMBER(fc),fc,"Error")</f>
        <v>6</v>
      </c>
    </row>
    <row r="39" spans="1:7" ht="12">
      <c r="A39" s="78" t="s">
        <v>57</v>
      </c>
      <c r="B39" s="165">
        <v>68.1</v>
      </c>
      <c r="C39" s="139">
        <f>IF(AND(ISNUMBER(fc),ISNUMBER(Ccomplf_actual),fc&gt;=0,Ccomplf_actual&gt;0),1/(2*PI()*fc*Ccomplf_actual/1000000000)/1000,"Error")</f>
        <v>68.01493294525442</v>
      </c>
      <c r="D39" s="89"/>
      <c r="E39" s="81" t="s">
        <v>73</v>
      </c>
      <c r="F39" s="114">
        <f>IF(AND(ISNUMBER(Rcomp_actual),ISNUMBER(Ccomphf_actual),Rcomp_actual&gt;=0,Ccomphf_actual&gt;0),1/(2*PI()*Rcomp_actual*1000*Ccomphf_actual/1000000000),"Error")</f>
        <v>155.80513273802777</v>
      </c>
      <c r="G39" s="115">
        <f>IF(ISNUMBER(fHFP),fHFP,"Error")</f>
        <v>150</v>
      </c>
    </row>
    <row r="40" spans="1:7" ht="12">
      <c r="A40" s="78" t="s">
        <v>58</v>
      </c>
      <c r="B40" s="171">
        <v>15</v>
      </c>
      <c r="C40" s="113">
        <f>IF(AND(ISNUMBER(fHFP),ISNUMBER(Rcomp_actual),fHFP&gt;0,Rcomp_actual&gt;=0),1/(2*PI()*fHFP*Rcomp_actual*1000)*1000000000,"Error")</f>
        <v>15.580513273802778</v>
      </c>
      <c r="D40" s="91"/>
      <c r="E40" s="107"/>
      <c r="F40" s="116"/>
      <c r="G40" s="107"/>
    </row>
    <row r="41" spans="1:7" s="87" customFormat="1" ht="12.75" customHeight="1">
      <c r="A41" s="270" t="s">
        <v>132</v>
      </c>
      <c r="B41" s="270"/>
      <c r="C41" s="270"/>
      <c r="D41" s="270"/>
      <c r="E41" s="270"/>
      <c r="F41" s="270"/>
      <c r="G41" s="270"/>
    </row>
    <row r="42" spans="1:7" ht="10.5">
      <c r="A42" s="75" t="s">
        <v>91</v>
      </c>
      <c r="B42" s="75" t="s">
        <v>109</v>
      </c>
      <c r="C42" s="75" t="s">
        <v>110</v>
      </c>
      <c r="D42" s="88"/>
      <c r="E42" s="77" t="s">
        <v>111</v>
      </c>
      <c r="F42" s="77" t="s">
        <v>112</v>
      </c>
      <c r="G42" s="77" t="s">
        <v>113</v>
      </c>
    </row>
    <row r="43" spans="1:7" ht="12">
      <c r="A43" s="78" t="s">
        <v>55</v>
      </c>
      <c r="B43" s="171">
        <v>470</v>
      </c>
      <c r="C43" s="113">
        <f>IF(AND(ISNUMBER(dVout_dt),ISNUMBER(Rfb2_actual),ISNUMBER(Rfb1_actual),Rfb2_actual&gt;0,Rfb1_actual&gt;0,dVout_dt&gt;0),0.000005*(Rfb2_actual+Rfb1_actual)*1000/(dVout_dt*1000*Rfb2_actual*1000)*1000000000,"Error")</f>
        <v>444.1935483870968</v>
      </c>
      <c r="D43" s="91"/>
      <c r="E43" s="81" t="s">
        <v>135</v>
      </c>
      <c r="F43" s="117">
        <f>0.000005/(Css_actual*0.000000001)*(Rfb1_actual+Rfb2_actual)/Rfb2_actual/1000</f>
        <v>1.4176389842141386</v>
      </c>
      <c r="G43" s="118">
        <f>dVout_dt</f>
        <v>1.5</v>
      </c>
    </row>
    <row r="44" spans="1:7" s="87" customFormat="1" ht="12.75" customHeight="1">
      <c r="A44" s="270" t="s">
        <v>133</v>
      </c>
      <c r="B44" s="270"/>
      <c r="C44" s="270"/>
      <c r="D44" s="270"/>
      <c r="E44" s="270"/>
      <c r="F44" s="270"/>
      <c r="G44" s="270"/>
    </row>
    <row r="45" spans="1:7" ht="10.5">
      <c r="A45" s="75" t="s">
        <v>91</v>
      </c>
      <c r="B45" s="75" t="s">
        <v>109</v>
      </c>
      <c r="C45" s="75" t="s">
        <v>110</v>
      </c>
      <c r="D45" s="88"/>
      <c r="E45" s="77" t="s">
        <v>111</v>
      </c>
      <c r="F45" s="77" t="s">
        <v>112</v>
      </c>
      <c r="G45" s="77" t="s">
        <v>113</v>
      </c>
    </row>
    <row r="46" spans="1:7" ht="12">
      <c r="A46" s="78" t="s">
        <v>66</v>
      </c>
      <c r="B46" s="172">
        <v>15</v>
      </c>
      <c r="C46" s="119">
        <f>IF(ISNUMBER(Rg1),Rg1,"Error")</f>
        <v>15</v>
      </c>
      <c r="D46" s="120"/>
      <c r="E46" s="81" t="s">
        <v>107</v>
      </c>
      <c r="F46" s="121">
        <f>IF(AND(ISNUMBER(VDDmax),ISNUMBER(Rgx_actual),VDDmax&gt;0,Rgx_actual&gt;0),VDDmax/Rgx_actual,"Error")</f>
        <v>1</v>
      </c>
      <c r="G46" s="122">
        <f>IF(AND(ISNUMBER(VDDmax),ISNUMBER(Rg1)),VDDmax/Rg1,"Error")</f>
        <v>1</v>
      </c>
    </row>
    <row r="47" spans="1:7" s="87" customFormat="1" ht="12.75" customHeight="1">
      <c r="A47" s="270" t="s">
        <v>134</v>
      </c>
      <c r="B47" s="270"/>
      <c r="C47" s="270"/>
      <c r="D47" s="270"/>
      <c r="E47" s="270"/>
      <c r="F47" s="270"/>
      <c r="G47" s="270"/>
    </row>
    <row r="48" spans="1:7" ht="10.5">
      <c r="A48" s="75" t="s">
        <v>91</v>
      </c>
      <c r="B48" s="75" t="s">
        <v>109</v>
      </c>
      <c r="C48" s="75" t="s">
        <v>110</v>
      </c>
      <c r="D48" s="88"/>
      <c r="E48" s="77" t="s">
        <v>111</v>
      </c>
      <c r="F48" s="77" t="s">
        <v>112</v>
      </c>
      <c r="G48" s="77" t="s">
        <v>113</v>
      </c>
    </row>
    <row r="49" spans="1:7" ht="12">
      <c r="A49" s="78" t="s">
        <v>52</v>
      </c>
      <c r="B49" s="166">
        <v>47.5</v>
      </c>
      <c r="C49" s="139">
        <f>IF(AND(ISNUMBER(Voutlatch_actual),Voutlatch_actual&gt;0),Voutlatch_actual/N/0.001/1000,"Error")</f>
        <v>46.804545454545455</v>
      </c>
      <c r="D49" s="89"/>
      <c r="E49" s="81" t="s">
        <v>108</v>
      </c>
      <c r="F49" s="123">
        <f>IF(AND(ISNUMBER(Voutlatch_actual),ISNUMBER(N),ISNUMBER(Rzcdx_actual),Voutlatch_actual&gt;0,N&gt;0,Rzcdx_actual&gt;0),Voutlatch_actual/N/Rzcdx_actual,"Error")</f>
        <v>0.9853588516746411</v>
      </c>
      <c r="G49" s="124">
        <f>IF(AND(ISNUMBER(VOUT),ISNUMBER(N),ISNUMBER(Rzcd1)),VOUTLATCH/N/Rzcd1,"Error")</f>
        <v>1</v>
      </c>
    </row>
    <row r="50" ht="6" customHeight="1"/>
    <row r="51" spans="1:7" s="84" customFormat="1" ht="42.75" customHeight="1">
      <c r="A51" s="259" t="s">
        <v>143</v>
      </c>
      <c r="B51" s="260"/>
      <c r="C51" s="260"/>
      <c r="D51" s="260"/>
      <c r="E51" s="260"/>
      <c r="F51" s="260"/>
      <c r="G51" s="261"/>
    </row>
    <row r="52" spans="1:7" s="84" customFormat="1" ht="6" customHeight="1">
      <c r="A52" s="157"/>
      <c r="B52" s="157"/>
      <c r="C52" s="157"/>
      <c r="D52" s="157"/>
      <c r="E52" s="157"/>
      <c r="F52" s="157"/>
      <c r="G52" s="157"/>
    </row>
    <row r="53" spans="1:7" s="84" customFormat="1" ht="11.25" customHeight="1">
      <c r="A53" s="246" t="s">
        <v>199</v>
      </c>
      <c r="B53" s="247"/>
      <c r="C53" s="158" t="s">
        <v>194</v>
      </c>
      <c r="D53" s="267" t="str">
        <f>Project</f>
        <v> </v>
      </c>
      <c r="E53" s="263"/>
      <c r="F53" s="263"/>
      <c r="G53" s="263"/>
    </row>
    <row r="54" spans="1:7" s="84" customFormat="1" ht="11.25" customHeight="1">
      <c r="A54" s="247"/>
      <c r="B54" s="247"/>
      <c r="C54" s="158" t="s">
        <v>195</v>
      </c>
      <c r="D54" s="267" t="str">
        <f>Designer</f>
        <v> </v>
      </c>
      <c r="E54" s="263"/>
      <c r="F54" s="263"/>
      <c r="G54" s="263"/>
    </row>
    <row r="55" spans="1:7" s="84" customFormat="1" ht="11.25" customHeight="1">
      <c r="A55" s="247"/>
      <c r="B55" s="247"/>
      <c r="C55" s="159" t="s">
        <v>90</v>
      </c>
      <c r="D55" s="264" t="str">
        <f>Date_Design</f>
        <v> </v>
      </c>
      <c r="E55" s="265"/>
      <c r="F55" s="265"/>
      <c r="G55" s="265"/>
    </row>
    <row r="56" spans="1:7" ht="5.25" customHeight="1">
      <c r="A56" s="266"/>
      <c r="B56" s="266"/>
      <c r="C56" s="266"/>
      <c r="D56" s="266"/>
      <c r="E56" s="266"/>
      <c r="F56" s="266"/>
      <c r="G56" s="266"/>
    </row>
    <row r="57" spans="1:7" s="73" customFormat="1" ht="12.75">
      <c r="A57" s="125" t="str">
        <f>Copy_Right</f>
        <v>© 2010 Fairchild Semiconductor Corporation.  All rights reserved.</v>
      </c>
      <c r="C57" s="74"/>
      <c r="F57" s="268" t="s">
        <v>80</v>
      </c>
      <c r="G57" s="268"/>
    </row>
    <row r="58" spans="1:3" s="73" customFormat="1" ht="9.75" customHeight="1">
      <c r="A58" s="125" t="str">
        <f>CONCATENATE("Rev. ",[0]!Rev,"  ·  ",TEXT([0]!Date,"mm/dd/yyyy"),"  ·  M. Smith")</f>
        <v>Rev. 3  ·  06/01/2010  ·  M. Smith</v>
      </c>
      <c r="C58" s="74"/>
    </row>
  </sheetData>
  <sheetProtection password="995D" sheet="1" objects="1" scenarios="1" selectLockedCells="1"/>
  <mergeCells count="21">
    <mergeCell ref="A51:G51"/>
    <mergeCell ref="A31:G31"/>
    <mergeCell ref="A36:G36"/>
    <mergeCell ref="A41:G41"/>
    <mergeCell ref="A28:G28"/>
    <mergeCell ref="A3:G3"/>
    <mergeCell ref="A1:G1"/>
    <mergeCell ref="A44:G44"/>
    <mergeCell ref="A47:G47"/>
    <mergeCell ref="A6:G6"/>
    <mergeCell ref="A10:G10"/>
    <mergeCell ref="A14:G14"/>
    <mergeCell ref="A20:G20"/>
    <mergeCell ref="A23:G23"/>
    <mergeCell ref="A4:G4"/>
    <mergeCell ref="A56:G56"/>
    <mergeCell ref="A53:B55"/>
    <mergeCell ref="D53:G53"/>
    <mergeCell ref="D54:G54"/>
    <mergeCell ref="D55:G55"/>
    <mergeCell ref="F57:G57"/>
  </mergeCells>
  <conditionalFormatting sqref="B33">
    <cfRule type="expression" priority="5" dxfId="107" stopIfTrue="1">
      <formula>NOT(ISNUMBER($B$33))</formula>
    </cfRule>
    <cfRule type="cellIs" priority="6" dxfId="107" operator="lessThanOrEqual" stopIfTrue="1">
      <formula>0</formula>
    </cfRule>
  </conditionalFormatting>
  <conditionalFormatting sqref="B38">
    <cfRule type="expression" priority="7" dxfId="107" stopIfTrue="1">
      <formula>NOT(ISNUMBER($B$38))</formula>
    </cfRule>
    <cfRule type="cellIs" priority="8" dxfId="107" operator="lessThanOrEqual" stopIfTrue="1">
      <formula>0</formula>
    </cfRule>
  </conditionalFormatting>
  <conditionalFormatting sqref="B39">
    <cfRule type="expression" priority="9" dxfId="107" stopIfTrue="1">
      <formula>NOT(ISNUMBER($B$39))</formula>
    </cfRule>
    <cfRule type="cellIs" priority="10" dxfId="107" operator="lessThan" stopIfTrue="1">
      <formula>0</formula>
    </cfRule>
  </conditionalFormatting>
  <conditionalFormatting sqref="B40">
    <cfRule type="expression" priority="11" dxfId="107" stopIfTrue="1">
      <formula>NOT(ISNUMBER($B$40))</formula>
    </cfRule>
    <cfRule type="cellIs" priority="12" dxfId="107" operator="lessThanOrEqual" stopIfTrue="1">
      <formula>0</formula>
    </cfRule>
  </conditionalFormatting>
  <conditionalFormatting sqref="B43">
    <cfRule type="expression" priority="13" dxfId="107" stopIfTrue="1">
      <formula>NOT(ISNUMBER($B$43))</formula>
    </cfRule>
    <cfRule type="cellIs" priority="14" dxfId="107" operator="lessThanOrEqual" stopIfTrue="1">
      <formula>0</formula>
    </cfRule>
  </conditionalFormatting>
  <conditionalFormatting sqref="B46">
    <cfRule type="expression" priority="15" dxfId="107" stopIfTrue="1">
      <formula>NOT(ISNUMBER($B$46))</formula>
    </cfRule>
    <cfRule type="cellIs" priority="16" dxfId="107" operator="lessThan" stopIfTrue="1">
      <formula>0</formula>
    </cfRule>
  </conditionalFormatting>
  <conditionalFormatting sqref="B49">
    <cfRule type="expression" priority="17" dxfId="107" stopIfTrue="1">
      <formula>NOT(ISNUMBER($B$49))</formula>
    </cfRule>
    <cfRule type="cellIs" priority="18" dxfId="107" operator="lessThanOrEqual" stopIfTrue="1">
      <formula>0</formula>
    </cfRule>
  </conditionalFormatting>
  <conditionalFormatting sqref="C33">
    <cfRule type="expression" priority="19" dxfId="50" stopIfTrue="1">
      <formula>NOT(ISNUMBER($C$33))</formula>
    </cfRule>
    <cfRule type="cellIs" priority="20" dxfId="50" operator="lessThanOrEqual" stopIfTrue="1">
      <formula>0</formula>
    </cfRule>
  </conditionalFormatting>
  <conditionalFormatting sqref="C38">
    <cfRule type="expression" priority="21" dxfId="50" stopIfTrue="1">
      <formula>NOT(ISNUMBER($C$38))</formula>
    </cfRule>
    <cfRule type="cellIs" priority="22" dxfId="50" operator="lessThanOrEqual" stopIfTrue="1">
      <formula>0</formula>
    </cfRule>
  </conditionalFormatting>
  <conditionalFormatting sqref="C39">
    <cfRule type="expression" priority="23" dxfId="50" stopIfTrue="1">
      <formula>NOT(ISNUMBER($C$39))</formula>
    </cfRule>
    <cfRule type="cellIs" priority="24" dxfId="50" operator="lessThan" stopIfTrue="1">
      <formula>0</formula>
    </cfRule>
  </conditionalFormatting>
  <conditionalFormatting sqref="C40">
    <cfRule type="expression" priority="25" dxfId="50" stopIfTrue="1">
      <formula>NOT(ISNUMBER($C$40))</formula>
    </cfRule>
    <cfRule type="cellIs" priority="26" dxfId="50" operator="lessThanOrEqual" stopIfTrue="1">
      <formula>0</formula>
    </cfRule>
  </conditionalFormatting>
  <conditionalFormatting sqref="C46">
    <cfRule type="expression" priority="27" dxfId="50" stopIfTrue="1">
      <formula>NOT(ISNUMBER($C$46))</formula>
    </cfRule>
    <cfRule type="cellIs" priority="28" dxfId="50" operator="lessThan" stopIfTrue="1">
      <formula>0</formula>
    </cfRule>
  </conditionalFormatting>
  <conditionalFormatting sqref="C49">
    <cfRule type="expression" priority="29" dxfId="50" stopIfTrue="1">
      <formula>NOT(ISNUMBER($C$49))</formula>
    </cfRule>
    <cfRule type="cellIs" priority="30" dxfId="50" operator="lessThanOrEqual" stopIfTrue="1">
      <formula>0</formula>
    </cfRule>
  </conditionalFormatting>
  <conditionalFormatting sqref="C43">
    <cfRule type="expression" priority="31" dxfId="50" stopIfTrue="1">
      <formula>NOT(ISNUMBER($C$43))</formula>
    </cfRule>
    <cfRule type="cellIs" priority="32" dxfId="50" operator="lessThanOrEqual" stopIfTrue="1">
      <formula>0</formula>
    </cfRule>
  </conditionalFormatting>
  <conditionalFormatting sqref="F43">
    <cfRule type="expression" priority="33" dxfId="50" stopIfTrue="1">
      <formula>NOT(ISNUMBER($F$43))</formula>
    </cfRule>
    <cfRule type="cellIs" priority="34" dxfId="50" operator="lessThanOrEqual" stopIfTrue="1">
      <formula>0</formula>
    </cfRule>
    <cfRule type="cellIs" priority="35" dxfId="50" operator="greaterThan" stopIfTrue="1">
      <formula>$F$30/(2*$B$33*0.000001)/1000</formula>
    </cfRule>
  </conditionalFormatting>
  <conditionalFormatting sqref="F33">
    <cfRule type="expression" priority="36" dxfId="50" stopIfTrue="1">
      <formula>NOT(ISNUMBER($F$33))</formula>
    </cfRule>
    <cfRule type="cellIs" priority="37" dxfId="52" operator="greaterThan" stopIfTrue="1">
      <formula>$G$33</formula>
    </cfRule>
  </conditionalFormatting>
  <conditionalFormatting sqref="F46">
    <cfRule type="expression" priority="38" dxfId="50" stopIfTrue="1">
      <formula>NOT(ISNUMBER($F$46))</formula>
    </cfRule>
    <cfRule type="cellIs" priority="39" dxfId="52" operator="greaterThan" stopIfTrue="1">
      <formula>ROUND($G$46,2)</formula>
    </cfRule>
  </conditionalFormatting>
  <conditionalFormatting sqref="G30">
    <cfRule type="expression" priority="40" dxfId="107" stopIfTrue="1">
      <formula>NOT(ISNUMBER($F$30))</formula>
    </cfRule>
  </conditionalFormatting>
  <conditionalFormatting sqref="C9">
    <cfRule type="expression" priority="41" dxfId="50" stopIfTrue="1">
      <formula>NOT(ISNUMBER($C$9))</formula>
    </cfRule>
  </conditionalFormatting>
  <conditionalFormatting sqref="B8">
    <cfRule type="expression" priority="42" dxfId="107" stopIfTrue="1">
      <formula>NOT(ISNUMBER($B$8))</formula>
    </cfRule>
    <cfRule type="cellIs" priority="43" dxfId="107" operator="lessThanOrEqual" stopIfTrue="1">
      <formula>0</formula>
    </cfRule>
  </conditionalFormatting>
  <conditionalFormatting sqref="B9">
    <cfRule type="expression" priority="44" dxfId="107" stopIfTrue="1">
      <formula>NOT(ISNUMBER($B$9))</formula>
    </cfRule>
    <cfRule type="cellIs" priority="45" dxfId="107" operator="lessThanOrEqual" stopIfTrue="1">
      <formula>0</formula>
    </cfRule>
  </conditionalFormatting>
  <conditionalFormatting sqref="B12">
    <cfRule type="expression" priority="46" dxfId="107" stopIfTrue="1">
      <formula>NOT(ISNUMBER($B$12))</formula>
    </cfRule>
    <cfRule type="cellIs" priority="47" dxfId="107" operator="lessThanOrEqual" stopIfTrue="1">
      <formula>0</formula>
    </cfRule>
  </conditionalFormatting>
  <conditionalFormatting sqref="B13">
    <cfRule type="expression" priority="48" dxfId="107" stopIfTrue="1">
      <formula>NOT(ISNUMBER($B$13))</formula>
    </cfRule>
    <cfRule type="cellIs" priority="49" dxfId="107" operator="lessThanOrEqual" stopIfTrue="1">
      <formula>0</formula>
    </cfRule>
  </conditionalFormatting>
  <conditionalFormatting sqref="B16">
    <cfRule type="expression" priority="50" dxfId="107" stopIfTrue="1">
      <formula>NOT(ISNUMBER($B$16))</formula>
    </cfRule>
    <cfRule type="cellIs" priority="51" dxfId="107" operator="lessThanOrEqual" stopIfTrue="1">
      <formula>0</formula>
    </cfRule>
  </conditionalFormatting>
  <conditionalFormatting sqref="B17">
    <cfRule type="expression" priority="52" dxfId="107" stopIfTrue="1">
      <formula>NOT(ISNUMBER($B$17))</formula>
    </cfRule>
    <cfRule type="cellIs" priority="53" dxfId="107" operator="lessThanOrEqual" stopIfTrue="1">
      <formula>0</formula>
    </cfRule>
  </conditionalFormatting>
  <conditionalFormatting sqref="B18">
    <cfRule type="expression" priority="54" dxfId="107" stopIfTrue="1">
      <formula>NOT(ISNUMBER($B$18))</formula>
    </cfRule>
    <cfRule type="cellIs" priority="55" dxfId="107" operator="lessThan" stopIfTrue="1">
      <formula>0</formula>
    </cfRule>
  </conditionalFormatting>
  <conditionalFormatting sqref="B19">
    <cfRule type="expression" priority="56" dxfId="107" stopIfTrue="1">
      <formula>NOT(ISNUMBER($B$19))</formula>
    </cfRule>
    <cfRule type="cellIs" priority="57" dxfId="107" operator="lessThanOrEqual" stopIfTrue="1">
      <formula>0</formula>
    </cfRule>
  </conditionalFormatting>
  <conditionalFormatting sqref="B22">
    <cfRule type="expression" priority="58" dxfId="107" stopIfTrue="1">
      <formula>NOT(ISNUMBER($B$22))</formula>
    </cfRule>
    <cfRule type="cellIs" priority="59" dxfId="107" operator="lessThan" stopIfTrue="1">
      <formula>25</formula>
    </cfRule>
  </conditionalFormatting>
  <conditionalFormatting sqref="B25">
    <cfRule type="expression" priority="60" dxfId="107" stopIfTrue="1">
      <formula>NOT(ISNUMBER($B$25))</formula>
    </cfRule>
    <cfRule type="cellIs" priority="61" dxfId="107" operator="lessThanOrEqual" stopIfTrue="1">
      <formula>0</formula>
    </cfRule>
  </conditionalFormatting>
  <conditionalFormatting sqref="B30">
    <cfRule type="expression" priority="62" dxfId="107" stopIfTrue="1">
      <formula>NOT(ISNUMBER($B$30))</formula>
    </cfRule>
    <cfRule type="cellIs" priority="63" dxfId="107" operator="lessThanOrEqual" stopIfTrue="1">
      <formula>0</formula>
    </cfRule>
  </conditionalFormatting>
  <conditionalFormatting sqref="C8">
    <cfRule type="expression" priority="64" dxfId="50" stopIfTrue="1">
      <formula>NOT(ISNUMBER($C$8))</formula>
    </cfRule>
    <cfRule type="cellIs" priority="65" dxfId="50" operator="lessThanOrEqual" stopIfTrue="1">
      <formula>0</formula>
    </cfRule>
  </conditionalFormatting>
  <conditionalFormatting sqref="C12">
    <cfRule type="expression" priority="66" dxfId="50" stopIfTrue="1">
      <formula>NOT(ISNUMBER($C$12))</formula>
    </cfRule>
    <cfRule type="cellIs" priority="67" dxfId="50" operator="lessThanOrEqual" stopIfTrue="1">
      <formula>0</formula>
    </cfRule>
  </conditionalFormatting>
  <conditionalFormatting sqref="C13">
    <cfRule type="expression" priority="68" dxfId="50" stopIfTrue="1">
      <formula>NOT(ISNUMBER($C$13))</formula>
    </cfRule>
    <cfRule type="cellIs" priority="69" dxfId="50" operator="lessThanOrEqual" stopIfTrue="1">
      <formula>0</formula>
    </cfRule>
  </conditionalFormatting>
  <conditionalFormatting sqref="C16">
    <cfRule type="expression" priority="70" dxfId="50" stopIfTrue="1">
      <formula>NOT(ISNUMBER($C$16))</formula>
    </cfRule>
    <cfRule type="cellIs" priority="71" dxfId="50" operator="lessThanOrEqual" stopIfTrue="1">
      <formula>0</formula>
    </cfRule>
  </conditionalFormatting>
  <conditionalFormatting sqref="C17">
    <cfRule type="expression" priority="72" dxfId="50" stopIfTrue="1">
      <formula>NOT(ISNUMBER($C$17))</formula>
    </cfRule>
    <cfRule type="cellIs" priority="73" dxfId="50" operator="lessThanOrEqual" stopIfTrue="1">
      <formula>0</formula>
    </cfRule>
  </conditionalFormatting>
  <conditionalFormatting sqref="C19">
    <cfRule type="expression" priority="74" dxfId="50" stopIfTrue="1">
      <formula>NOT(ISNUMBER($C$19))</formula>
    </cfRule>
    <cfRule type="cellIs" priority="75" dxfId="50" operator="lessThanOrEqual" stopIfTrue="1">
      <formula>0</formula>
    </cfRule>
  </conditionalFormatting>
  <conditionalFormatting sqref="C22">
    <cfRule type="expression" priority="76" dxfId="50" stopIfTrue="1">
      <formula>NOT(ISNUMBER($C$22))</formula>
    </cfRule>
    <cfRule type="cellIs" priority="77" dxfId="50" operator="lessThanOrEqual" stopIfTrue="1">
      <formula>25</formula>
    </cfRule>
  </conditionalFormatting>
  <conditionalFormatting sqref="C25">
    <cfRule type="expression" priority="78" dxfId="50" stopIfTrue="1">
      <formula>NOT(ISNUMBER($C$25))</formula>
    </cfRule>
    <cfRule type="cellIs" priority="79" dxfId="50" operator="lessThanOrEqual" stopIfTrue="1">
      <formula>0</formula>
    </cfRule>
  </conditionalFormatting>
  <conditionalFormatting sqref="C30">
    <cfRule type="expression" priority="80" dxfId="50" stopIfTrue="1">
      <formula>NOT(ISNUMBER($C$30))</formula>
    </cfRule>
    <cfRule type="cellIs" priority="81" dxfId="50" operator="lessThanOrEqual" stopIfTrue="1">
      <formula>0</formula>
    </cfRule>
  </conditionalFormatting>
  <conditionalFormatting sqref="F8">
    <cfRule type="expression" priority="82" dxfId="269" stopIfTrue="1">
      <formula>NOT(ISNUMBER($F$8))</formula>
    </cfRule>
    <cfRule type="expression" priority="83" dxfId="269" stopIfTrue="1">
      <formula>(($F$8-SQRT(2)*VLINEMAX)/N)&lt;2</formula>
    </cfRule>
    <cfRule type="expression" priority="84" dxfId="52" stopIfTrue="1">
      <formula>ABS($F$8-$G$8)/$G$8&gt;0.1</formula>
    </cfRule>
  </conditionalFormatting>
  <conditionalFormatting sqref="F9">
    <cfRule type="expression" priority="85" dxfId="50" stopIfTrue="1">
      <formula>NOT(ISNUMBER($F$9))</formula>
    </cfRule>
    <cfRule type="cellIs" priority="86" dxfId="72" operator="greaterThan" stopIfTrue="1">
      <formula>$G$9</formula>
    </cfRule>
  </conditionalFormatting>
  <conditionalFormatting sqref="F12">
    <cfRule type="expression" priority="87" dxfId="50" stopIfTrue="1">
      <formula>NOT(ISNUMBER($F$12))</formula>
    </cfRule>
    <cfRule type="expression" priority="88" dxfId="52" stopIfTrue="1">
      <formula>ABS($F$12-$G$12)/$G$12&gt;0.05</formula>
    </cfRule>
  </conditionalFormatting>
  <conditionalFormatting sqref="F16">
    <cfRule type="expression" priority="89" dxfId="50" stopIfTrue="1">
      <formula>NOT(ISNUMBER($F$16))</formula>
    </cfRule>
    <cfRule type="expression" priority="90" dxfId="80" stopIfTrue="1">
      <formula>ABS($F$16-$G$16)/$G$16&gt;0.1</formula>
    </cfRule>
  </conditionalFormatting>
  <conditionalFormatting sqref="F18">
    <cfRule type="expression" priority="91" dxfId="50" stopIfTrue="1">
      <formula>NOT(ISNUMBER($F$18))</formula>
    </cfRule>
    <cfRule type="cellIs" priority="92" dxfId="72" operator="greaterThan" stopIfTrue="1">
      <formula>ROUND($G$18,3)</formula>
    </cfRule>
  </conditionalFormatting>
  <conditionalFormatting sqref="F30">
    <cfRule type="expression" priority="93" dxfId="50" stopIfTrue="1">
      <formula>NOT(ISNUMBER($F$30))</formula>
    </cfRule>
  </conditionalFormatting>
  <conditionalFormatting sqref="F19">
    <cfRule type="expression" priority="94" dxfId="50" stopIfTrue="1">
      <formula>NOT(ISNUMBER($F$19))</formula>
    </cfRule>
  </conditionalFormatting>
  <conditionalFormatting sqref="C18">
    <cfRule type="expression" priority="95" dxfId="50" stopIfTrue="1">
      <formula>NOT(ISNUMBER($C$17))</formula>
    </cfRule>
    <cfRule type="cellIs" priority="96" dxfId="50" operator="lessThan" stopIfTrue="1">
      <formula>0</formula>
    </cfRule>
  </conditionalFormatting>
  <conditionalFormatting sqref="F13">
    <cfRule type="expression" priority="97" dxfId="50" stopIfTrue="1">
      <formula>NOT(ISNUMBER($F$13))</formula>
    </cfRule>
    <cfRule type="cellIs" priority="98" dxfId="72" operator="greaterThan" stopIfTrue="1">
      <formula>$G$13</formula>
    </cfRule>
  </conditionalFormatting>
  <conditionalFormatting sqref="F17">
    <cfRule type="expression" priority="99" dxfId="50" stopIfTrue="1">
      <formula>NOT(ISNUMBER($F$17))</formula>
    </cfRule>
    <cfRule type="expression" priority="100" dxfId="52" stopIfTrue="1">
      <formula>ABS($F$17-$G$17)/$G$17&gt;0.1</formula>
    </cfRule>
  </conditionalFormatting>
  <conditionalFormatting sqref="F22">
    <cfRule type="expression" priority="101" dxfId="50" stopIfTrue="1">
      <formula>NOT(ISNUMBER($F$22))</formula>
    </cfRule>
    <cfRule type="expression" priority="102" dxfId="52" stopIfTrue="1">
      <formula>ABS($F$22-$G$22)/$G$22&gt;0.1</formula>
    </cfRule>
  </conditionalFormatting>
  <conditionalFormatting sqref="F25">
    <cfRule type="expression" priority="103" dxfId="50" stopIfTrue="1">
      <formula>NOT(ISNUMBER($F$25))</formula>
    </cfRule>
    <cfRule type="expression" priority="104" dxfId="52" stopIfTrue="1">
      <formula>ABS($F$25-$G$25)/$G$25&gt;0.1</formula>
    </cfRule>
  </conditionalFormatting>
  <conditionalFormatting sqref="F26">
    <cfRule type="expression" priority="105" dxfId="50" stopIfTrue="1">
      <formula>NOT(ISNUMBER($F$26))</formula>
    </cfRule>
    <cfRule type="expression" priority="106" dxfId="52" stopIfTrue="1">
      <formula>ABS($F$26-$G$26)/$G$26&gt;0.1</formula>
    </cfRule>
  </conditionalFormatting>
  <conditionalFormatting sqref="F27">
    <cfRule type="expression" priority="107" dxfId="50" stopIfTrue="1">
      <formula>NOT(ISNUMBER($F$27))</formula>
    </cfRule>
    <cfRule type="expression" priority="108" dxfId="52" stopIfTrue="1">
      <formula>ABS($F$27-$G$27)/$G$27&gt;0.1</formula>
    </cfRule>
  </conditionalFormatting>
  <conditionalFormatting sqref="F34">
    <cfRule type="expression" priority="109" dxfId="50" stopIfTrue="1">
      <formula>NOT(ISNUMBER($F$34))</formula>
    </cfRule>
    <cfRule type="cellIs" priority="110" dxfId="52" operator="lessThan" stopIfTrue="1">
      <formula>$G$34</formula>
    </cfRule>
  </conditionalFormatting>
  <conditionalFormatting sqref="F35">
    <cfRule type="expression" priority="111" dxfId="50" stopIfTrue="1">
      <formula>NOT(ISNUMBER($F$35))</formula>
    </cfRule>
    <cfRule type="cellIs" priority="112" dxfId="52" operator="lessThan" stopIfTrue="1">
      <formula>$G$35</formula>
    </cfRule>
  </conditionalFormatting>
  <conditionalFormatting sqref="F38">
    <cfRule type="expression" priority="113" dxfId="50" stopIfTrue="1">
      <formula>NOT(ISNUMBER($F$38))</formula>
    </cfRule>
    <cfRule type="expression" priority="114" dxfId="52" stopIfTrue="1">
      <formula>ABS($F$38-$G$38)/$G$38&gt;0.25</formula>
    </cfRule>
  </conditionalFormatting>
  <conditionalFormatting sqref="F39">
    <cfRule type="expression" priority="115" dxfId="50" stopIfTrue="1">
      <formula>NOT(ISNUMBER($F$39))</formula>
    </cfRule>
    <cfRule type="expression" priority="116" dxfId="52" stopIfTrue="1">
      <formula>ABS($F$39-$G$39)/$G$39&gt;0.1</formula>
    </cfRule>
  </conditionalFormatting>
  <conditionalFormatting sqref="F49">
    <cfRule type="expression" priority="117" dxfId="50" stopIfTrue="1">
      <formula>NOT(ISNUMBER($F$49))</formula>
    </cfRule>
    <cfRule type="cellIs" priority="118" dxfId="52" operator="greaterThan" stopIfTrue="1">
      <formula>$G$49</formula>
    </cfRule>
  </conditionalFormatting>
  <printOptions horizontalCentered="1"/>
  <pageMargins left="0.25" right="0.25" top="0.5" bottom="0.5" header="0.25" footer="0.25"/>
  <pageSetup horizontalDpi="600" verticalDpi="600" orientation="portrait" scale="94" r:id="rId4"/>
  <drawing r:id="rId3"/>
  <legacyDrawing r:id="rId2"/>
</worksheet>
</file>

<file path=xl/worksheets/sheet6.xml><?xml version="1.0" encoding="utf-8"?>
<worksheet xmlns="http://schemas.openxmlformats.org/spreadsheetml/2006/main" xmlns:r="http://schemas.openxmlformats.org/officeDocument/2006/relationships">
  <dimension ref="A1:G60"/>
  <sheetViews>
    <sheetView zoomScaleSheetLayoutView="100" zoomScalePageLayoutView="0" workbookViewId="0" topLeftCell="A1">
      <selection activeCell="A60" sqref="A60"/>
    </sheetView>
  </sheetViews>
  <sheetFormatPr defaultColWidth="9.140625" defaultRowHeight="12.75"/>
  <cols>
    <col min="1" max="1" width="30.7109375" style="0" customWidth="1"/>
    <col min="2" max="2" width="10.7109375" style="0" customWidth="1"/>
    <col min="3" max="3" width="12.7109375" style="0" customWidth="1"/>
    <col min="4" max="4" width="2.7109375" style="0" customWidth="1"/>
    <col min="5" max="5" width="30.7109375" style="0" customWidth="1"/>
    <col min="6" max="6" width="10.7109375" style="0" customWidth="1"/>
    <col min="7" max="7" width="12.7109375" style="0" customWidth="1"/>
  </cols>
  <sheetData>
    <row r="1" spans="1:7" s="1" customFormat="1" ht="40.5" customHeight="1">
      <c r="A1" s="278" t="s">
        <v>302</v>
      </c>
      <c r="B1" s="240"/>
      <c r="C1" s="240"/>
      <c r="D1" s="240"/>
      <c r="E1" s="240"/>
      <c r="F1" s="240"/>
      <c r="G1" s="240"/>
    </row>
    <row r="2" s="2" customFormat="1" ht="10.5"/>
    <row r="3" spans="1:7" s="1" customFormat="1" ht="12.75">
      <c r="A3" s="257" t="s">
        <v>146</v>
      </c>
      <c r="B3" s="258"/>
      <c r="C3" s="258"/>
      <c r="D3" s="258"/>
      <c r="E3" s="258"/>
      <c r="F3" s="258"/>
      <c r="G3" s="258"/>
    </row>
    <row r="4" spans="1:7" s="2" customFormat="1" ht="51.75" customHeight="1">
      <c r="A4" s="254" t="s">
        <v>140</v>
      </c>
      <c r="B4" s="255"/>
      <c r="C4" s="255"/>
      <c r="D4" s="255"/>
      <c r="E4" s="255"/>
      <c r="F4" s="255"/>
      <c r="G4" s="256"/>
    </row>
    <row r="5" s="2" customFormat="1" ht="10.5"/>
    <row r="28" s="2" customFormat="1" ht="10.5"/>
    <row r="29" spans="1:7" s="1" customFormat="1" ht="12.75">
      <c r="A29" s="279" t="s">
        <v>119</v>
      </c>
      <c r="B29" s="279"/>
      <c r="C29" s="279"/>
      <c r="D29" s="279"/>
      <c r="E29" s="279"/>
      <c r="F29" s="279"/>
      <c r="G29" s="279"/>
    </row>
    <row r="30" spans="1:7" s="1" customFormat="1" ht="12.75">
      <c r="A30" s="57" t="s">
        <v>149</v>
      </c>
      <c r="B30" s="57" t="s">
        <v>30</v>
      </c>
      <c r="C30" s="66">
        <f>Cout_actual</f>
        <v>440</v>
      </c>
      <c r="D30" s="59"/>
      <c r="E30" s="57" t="s">
        <v>45</v>
      </c>
      <c r="F30" s="57" t="s">
        <v>61</v>
      </c>
      <c r="G30" s="61">
        <f>IF(ISNUMBER(Rov1_actual),Rov1_actual,"Error")</f>
        <v>2190</v>
      </c>
    </row>
    <row r="31" spans="1:7" s="1" customFormat="1" ht="12.75">
      <c r="A31" s="57" t="s">
        <v>150</v>
      </c>
      <c r="B31" s="57" t="s">
        <v>148</v>
      </c>
      <c r="C31" s="126">
        <f>L_actual</f>
        <v>180</v>
      </c>
      <c r="D31" s="59"/>
      <c r="E31" s="57" t="s">
        <v>45</v>
      </c>
      <c r="F31" s="57" t="s">
        <v>62</v>
      </c>
      <c r="G31" s="58">
        <f>IF(ISNUMBER(Rov2_actual),Rov2_actual,"Error")</f>
        <v>16.5</v>
      </c>
    </row>
    <row r="32" spans="1:7" s="1" customFormat="1" ht="24">
      <c r="A32" s="57" t="s">
        <v>38</v>
      </c>
      <c r="B32" s="57" t="s">
        <v>52</v>
      </c>
      <c r="C32" s="58">
        <f>IF(ISNUMBER(Rzcdx_actual),Rzcdx_actual,"Error")</f>
        <v>47.5</v>
      </c>
      <c r="D32" s="59"/>
      <c r="E32" s="57" t="s">
        <v>46</v>
      </c>
      <c r="F32" s="57" t="s">
        <v>63</v>
      </c>
      <c r="G32" s="61">
        <f>IF(ISNUMBER(Rin1_actual),Rin1_actual,"Error")</f>
        <v>2226</v>
      </c>
    </row>
    <row r="33" spans="1:7" s="1" customFormat="1" ht="12.75">
      <c r="A33" s="57" t="s">
        <v>39</v>
      </c>
      <c r="B33" s="57" t="s">
        <v>53</v>
      </c>
      <c r="C33" s="60">
        <f>CVB</f>
        <v>0.22</v>
      </c>
      <c r="D33" s="59"/>
      <c r="E33" s="57" t="s">
        <v>46</v>
      </c>
      <c r="F33" s="57" t="s">
        <v>64</v>
      </c>
      <c r="G33" s="58">
        <f>IF(ISNUMBER(Rin2_actual),Rin2_actual,"Error")</f>
        <v>21</v>
      </c>
    </row>
    <row r="34" spans="1:7" s="1" customFormat="1" ht="12.75">
      <c r="A34" s="57" t="s">
        <v>40</v>
      </c>
      <c r="B34" s="57" t="s">
        <v>54</v>
      </c>
      <c r="C34" s="58">
        <f>IF(ISNUMBER(Rmot_actual),Rmot_actual,"Error")</f>
        <v>84.5</v>
      </c>
      <c r="D34" s="59"/>
      <c r="E34" s="57" t="s">
        <v>47</v>
      </c>
      <c r="F34" s="57" t="s">
        <v>65</v>
      </c>
      <c r="G34" s="58">
        <f>IF(ISNUMBER(Rinhyst_actual),Rinhyst_actual,"Error")</f>
        <v>0</v>
      </c>
    </row>
    <row r="35" spans="1:7" s="1" customFormat="1" ht="12.75" customHeight="1">
      <c r="A35" s="57" t="s">
        <v>41</v>
      </c>
      <c r="B35" s="57" t="s">
        <v>55</v>
      </c>
      <c r="C35" s="62">
        <f>IF(ISNUMBER(Css_actual),Css_actual,"Error")</f>
        <v>470</v>
      </c>
      <c r="D35" s="59"/>
      <c r="E35" s="57" t="s">
        <v>84</v>
      </c>
      <c r="F35" s="57" t="s">
        <v>83</v>
      </c>
      <c r="G35" s="62">
        <f>IF(ISNUMBER(Cinf_actual),Cinf_actual,"Error")</f>
        <v>10</v>
      </c>
    </row>
    <row r="36" spans="1:7" s="1" customFormat="1" ht="12.75">
      <c r="A36" s="57" t="s">
        <v>42</v>
      </c>
      <c r="B36" s="57" t="s">
        <v>56</v>
      </c>
      <c r="C36" s="62">
        <f>IF(ISNUMBER(Ccomplf_actual),Ccomplf_actual,"Error")</f>
        <v>390</v>
      </c>
      <c r="D36" s="59"/>
      <c r="E36" s="57" t="s">
        <v>48</v>
      </c>
      <c r="F36" s="57" t="s">
        <v>66</v>
      </c>
      <c r="G36" s="63">
        <f>IF(ISNUMBER(Rgx_actual),Rgx_actual,"Error")</f>
        <v>15</v>
      </c>
    </row>
    <row r="37" spans="1:7" s="1" customFormat="1" ht="12.75">
      <c r="A37" s="57" t="s">
        <v>43</v>
      </c>
      <c r="B37" s="57" t="s">
        <v>57</v>
      </c>
      <c r="C37" s="58">
        <f>IF(ISNUMBER(Rcomp_actual),Rcomp_actual,"Error")</f>
        <v>68.1</v>
      </c>
      <c r="D37" s="59"/>
      <c r="E37" s="57" t="s">
        <v>49</v>
      </c>
      <c r="F37" s="57" t="s">
        <v>67</v>
      </c>
      <c r="G37" s="65">
        <f>Cvdd1</f>
        <v>2.2</v>
      </c>
    </row>
    <row r="38" spans="1:7" s="1" customFormat="1" ht="12.75">
      <c r="A38" s="57" t="s">
        <v>42</v>
      </c>
      <c r="B38" s="57" t="s">
        <v>58</v>
      </c>
      <c r="C38" s="64">
        <f>IF(ISNUMBER(Ccomphf_actual),Ccomphf_actual,"Error")</f>
        <v>15</v>
      </c>
      <c r="D38" s="59"/>
      <c r="E38" s="57" t="s">
        <v>50</v>
      </c>
      <c r="F38" s="57" t="s">
        <v>68</v>
      </c>
      <c r="G38" s="66">
        <f>Cvdd2</f>
        <v>22</v>
      </c>
    </row>
    <row r="39" spans="1:7" s="1" customFormat="1" ht="12.75">
      <c r="A39" s="57" t="s">
        <v>44</v>
      </c>
      <c r="B39" s="57" t="s">
        <v>59</v>
      </c>
      <c r="C39" s="61">
        <f>IF(ISNUMBER(Rfb1_actual),Rfb1_actual,"Error")</f>
        <v>1066</v>
      </c>
      <c r="D39" s="59"/>
      <c r="E39" s="57" t="s">
        <v>51</v>
      </c>
      <c r="F39" s="57" t="s">
        <v>69</v>
      </c>
      <c r="G39" s="67">
        <f>IF(ISNUMBER(Rcsx_actual),Rcsx_actual,"Error")</f>
        <v>0.02</v>
      </c>
    </row>
    <row r="40" spans="1:7" s="1" customFormat="1" ht="12.75">
      <c r="A40" s="57" t="s">
        <v>44</v>
      </c>
      <c r="B40" s="57" t="s">
        <v>60</v>
      </c>
      <c r="C40" s="58">
        <f>IF(ISNUMBER(Rfb2_actual),Rfb2_actual,"Error")</f>
        <v>8.06</v>
      </c>
      <c r="D40" s="59"/>
      <c r="E40" s="68" t="s">
        <v>71</v>
      </c>
      <c r="F40" s="68" t="s">
        <v>81</v>
      </c>
      <c r="G40" s="69">
        <f>IF(AND(ISNUMBER(Ilpk_actual),ISNUMBER(Rcsx_actual),ISNUMBER(Vlineoff_actual),ISNUMBER(Vout_actual),Vout_actual&gt;0),1.5*Ilpk_actual^2*Rcsx_actual*(1/6-4*SQRT(2)*Vlineoff_actual/(9*PI()*Vout_actual)),"Error")</f>
        <v>0.39492494682091916</v>
      </c>
    </row>
    <row r="42" spans="1:7" ht="40.5" customHeight="1">
      <c r="A42" s="254" t="s">
        <v>120</v>
      </c>
      <c r="B42" s="255"/>
      <c r="C42" s="255"/>
      <c r="D42" s="255"/>
      <c r="E42" s="255"/>
      <c r="F42" s="255"/>
      <c r="G42" s="256"/>
    </row>
    <row r="49" spans="1:7" ht="12.75">
      <c r="A49" s="246" t="s">
        <v>199</v>
      </c>
      <c r="B49" s="158" t="s">
        <v>194</v>
      </c>
      <c r="C49" s="262" t="str">
        <f>Project</f>
        <v> </v>
      </c>
      <c r="D49" s="263"/>
      <c r="E49" s="263"/>
      <c r="F49" s="263"/>
      <c r="G49" s="263"/>
    </row>
    <row r="50" spans="1:7" ht="12.75">
      <c r="A50" s="247"/>
      <c r="B50" s="158" t="s">
        <v>195</v>
      </c>
      <c r="C50" s="262" t="str">
        <f>Designer</f>
        <v> </v>
      </c>
      <c r="D50" s="263"/>
      <c r="E50" s="263"/>
      <c r="F50" s="263"/>
      <c r="G50" s="263"/>
    </row>
    <row r="51" spans="1:7" ht="12.75">
      <c r="A51" s="247"/>
      <c r="B51" s="159" t="s">
        <v>90</v>
      </c>
      <c r="C51" s="264" t="str">
        <f>Date_Design</f>
        <v> </v>
      </c>
      <c r="D51" s="265"/>
      <c r="E51" s="265"/>
      <c r="F51" s="265"/>
      <c r="G51" s="265"/>
    </row>
    <row r="52" spans="1:7" s="2" customFormat="1" ht="10.5">
      <c r="A52" s="239"/>
      <c r="B52" s="239"/>
      <c r="C52" s="239"/>
      <c r="D52" s="239"/>
      <c r="E52" s="239"/>
      <c r="F52" s="239"/>
      <c r="G52" s="239"/>
    </row>
    <row r="53" spans="1:7" s="1" customFormat="1" ht="12.75">
      <c r="A53" s="12" t="str">
        <f>Copy_Right</f>
        <v>© 2010 Fairchild Semiconductor Corporation.  All rights reserved.</v>
      </c>
      <c r="C53" s="2"/>
      <c r="F53" s="252" t="s">
        <v>80</v>
      </c>
      <c r="G53" s="252"/>
    </row>
    <row r="54" spans="1:3" s="1" customFormat="1" ht="12.75">
      <c r="A54" s="12" t="str">
        <f>CONCATENATE("Rev. ",[0]!Rev,"  ·  ",TEXT([0]!Date,"mm/dd/yyyy"),"  ·  M. Smith")</f>
        <v>Rev. 3  ·  06/01/2010  ·  M. Smith</v>
      </c>
      <c r="C54" s="2"/>
    </row>
    <row r="60" ht="12.75">
      <c r="A60" s="173"/>
    </row>
  </sheetData>
  <sheetProtection password="995D" sheet="1" objects="1" scenarios="1" selectLockedCells="1"/>
  <mergeCells count="11">
    <mergeCell ref="A49:A51"/>
    <mergeCell ref="C49:G49"/>
    <mergeCell ref="C50:G50"/>
    <mergeCell ref="C51:G51"/>
    <mergeCell ref="F53:G53"/>
    <mergeCell ref="A42:G42"/>
    <mergeCell ref="A1:G1"/>
    <mergeCell ref="A4:G4"/>
    <mergeCell ref="A29:G29"/>
    <mergeCell ref="A52:G52"/>
    <mergeCell ref="A3:G3"/>
  </mergeCells>
  <conditionalFormatting sqref="G30:G40 C30:C40">
    <cfRule type="expression" priority="1" dxfId="50" stopIfTrue="1">
      <formula>NOT(ISNUMBER(C30))</formula>
    </cfRule>
  </conditionalFormatting>
  <printOptions horizontalCentered="1"/>
  <pageMargins left="0.25" right="0.25" top="0.5" bottom="0.5" header="0.25" footer="0.25"/>
  <pageSetup horizontalDpi="600" verticalDpi="600" orientation="portrait" scale="93" r:id="rId4"/>
  <drawing r:id="rId3"/>
  <legacyDrawing r:id="rId2"/>
</worksheet>
</file>

<file path=xl/worksheets/sheet7.xml><?xml version="1.0" encoding="utf-8"?>
<worksheet xmlns="http://schemas.openxmlformats.org/spreadsheetml/2006/main" xmlns:r="http://schemas.openxmlformats.org/officeDocument/2006/relationships">
  <dimension ref="A1:H62"/>
  <sheetViews>
    <sheetView zoomScaleSheetLayoutView="100" zoomScalePageLayoutView="0" workbookViewId="0" topLeftCell="A1">
      <selection activeCell="D6" sqref="D6"/>
    </sheetView>
  </sheetViews>
  <sheetFormatPr defaultColWidth="9.140625" defaultRowHeight="12.75"/>
  <cols>
    <col min="1" max="1" width="30.7109375" style="0" customWidth="1"/>
    <col min="2" max="2" width="10.7109375" style="0" customWidth="1"/>
    <col min="3" max="3" width="10.00390625" style="0" customWidth="1"/>
    <col min="4" max="6" width="8.140625" style="0" customWidth="1"/>
    <col min="7" max="7" width="10.7109375" style="0" customWidth="1"/>
    <col min="8" max="8" width="12.7109375" style="0" customWidth="1"/>
  </cols>
  <sheetData>
    <row r="1" spans="1:8" s="1" customFormat="1" ht="40.5" customHeight="1">
      <c r="A1" s="240" t="s">
        <v>303</v>
      </c>
      <c r="B1" s="240"/>
      <c r="C1" s="240"/>
      <c r="D1" s="240"/>
      <c r="E1" s="240"/>
      <c r="F1" s="240"/>
      <c r="G1" s="240"/>
      <c r="H1" s="240"/>
    </row>
    <row r="2" s="2" customFormat="1" ht="10.5"/>
    <row r="3" spans="1:8" s="1" customFormat="1" ht="12.75">
      <c r="A3" s="257" t="s">
        <v>180</v>
      </c>
      <c r="B3" s="258"/>
      <c r="C3" s="258"/>
      <c r="D3" s="258"/>
      <c r="E3" s="258"/>
      <c r="F3" s="258"/>
      <c r="G3" s="258"/>
      <c r="H3" s="258"/>
    </row>
    <row r="4" spans="1:8" s="2" customFormat="1" ht="19.5" customHeight="1">
      <c r="A4" s="254" t="s">
        <v>162</v>
      </c>
      <c r="B4" s="255"/>
      <c r="C4" s="255"/>
      <c r="D4" s="255"/>
      <c r="E4" s="255"/>
      <c r="F4" s="255"/>
      <c r="G4" s="255"/>
      <c r="H4" s="256"/>
    </row>
    <row r="5" s="2" customFormat="1" ht="10.5"/>
    <row r="6" spans="2:6" ht="12.75">
      <c r="B6" s="282" t="s">
        <v>196</v>
      </c>
      <c r="C6" s="283"/>
      <c r="D6" s="293">
        <f>Iopk_actual/Kmax</f>
        <v>0.9667152344407138</v>
      </c>
      <c r="E6" s="164" t="s">
        <v>193</v>
      </c>
      <c r="F6" s="207"/>
    </row>
    <row r="28" s="2" customFormat="1" ht="10.5"/>
    <row r="29" s="2" customFormat="1" ht="10.5"/>
    <row r="30" s="2" customFormat="1" ht="10.5"/>
    <row r="31" s="2" customFormat="1" ht="10.5"/>
    <row r="32" s="2" customFormat="1" ht="10.5"/>
    <row r="33" s="2" customFormat="1" ht="10.5"/>
    <row r="34" s="2" customFormat="1" ht="10.5"/>
    <row r="35" s="2" customFormat="1" ht="10.5"/>
    <row r="36" s="2" customFormat="1" ht="10.5"/>
    <row r="37" s="2" customFormat="1" ht="10.5"/>
    <row r="38" s="2" customFormat="1" ht="10.5"/>
    <row r="39" s="2" customFormat="1" ht="10.5"/>
    <row r="40" s="2" customFormat="1" ht="10.5"/>
    <row r="41" s="2" customFormat="1" ht="10.5"/>
    <row r="42" s="2" customFormat="1" ht="10.5"/>
    <row r="43" s="2" customFormat="1" ht="10.5"/>
    <row r="44" s="2" customFormat="1" ht="10.5"/>
    <row r="45" s="2" customFormat="1" ht="10.5"/>
    <row r="46" s="2" customFormat="1" ht="10.5"/>
    <row r="47" spans="1:8" ht="12.75">
      <c r="A47" s="2"/>
      <c r="B47" s="2"/>
      <c r="C47" s="2"/>
      <c r="D47" s="2"/>
      <c r="E47" s="2"/>
      <c r="F47" s="2"/>
      <c r="G47" s="2"/>
      <c r="H47" s="2"/>
    </row>
    <row r="48" spans="1:8" ht="11.25" customHeight="1">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D51" s="150"/>
      <c r="E51" s="2"/>
      <c r="F51" s="2"/>
      <c r="G51" s="2"/>
      <c r="H51" s="2"/>
    </row>
    <row r="52" spans="2:6" ht="12.75" customHeight="1">
      <c r="B52" s="280" t="s">
        <v>189</v>
      </c>
      <c r="C52" s="281"/>
      <c r="D52" s="156">
        <f>BW</f>
        <v>6.309573444801954</v>
      </c>
      <c r="E52" s="153" t="s">
        <v>191</v>
      </c>
      <c r="F52" s="154"/>
    </row>
    <row r="53" spans="2:6" ht="12.75" customHeight="1">
      <c r="B53" s="280" t="s">
        <v>190</v>
      </c>
      <c r="C53" s="281"/>
      <c r="D53" s="156">
        <f>PM</f>
        <v>59.668995758365824</v>
      </c>
      <c r="E53" s="153" t="s">
        <v>192</v>
      </c>
      <c r="F53" s="154"/>
    </row>
    <row r="55" spans="1:8" ht="29.25" customHeight="1">
      <c r="A55" s="254" t="s">
        <v>188</v>
      </c>
      <c r="B55" s="255"/>
      <c r="C55" s="255"/>
      <c r="D55" s="255"/>
      <c r="E55" s="255"/>
      <c r="F55" s="255"/>
      <c r="G55" s="255"/>
      <c r="H55" s="256"/>
    </row>
    <row r="56" spans="1:8" ht="12.75" customHeight="1">
      <c r="A56" s="152"/>
      <c r="B56" s="152"/>
      <c r="C56" s="152"/>
      <c r="D56" s="152"/>
      <c r="E56" s="152"/>
      <c r="F56" s="152"/>
      <c r="G56" s="152"/>
      <c r="H56" s="152"/>
    </row>
    <row r="57" spans="1:8" ht="12.75" customHeight="1">
      <c r="A57" s="246" t="s">
        <v>199</v>
      </c>
      <c r="B57" s="158" t="s">
        <v>194</v>
      </c>
      <c r="C57" s="262" t="str">
        <f>Project</f>
        <v> </v>
      </c>
      <c r="D57" s="263"/>
      <c r="E57" s="263"/>
      <c r="F57" s="263"/>
      <c r="G57" s="263"/>
      <c r="H57" s="263"/>
    </row>
    <row r="58" spans="1:8" ht="12.75" customHeight="1">
      <c r="A58" s="247"/>
      <c r="B58" s="158" t="s">
        <v>195</v>
      </c>
      <c r="C58" s="262" t="str">
        <f>Designer</f>
        <v> </v>
      </c>
      <c r="D58" s="263"/>
      <c r="E58" s="263"/>
      <c r="F58" s="263"/>
      <c r="G58" s="263"/>
      <c r="H58" s="263"/>
    </row>
    <row r="59" spans="1:8" ht="12.75">
      <c r="A59" s="247"/>
      <c r="B59" s="159" t="s">
        <v>90</v>
      </c>
      <c r="C59" s="264" t="str">
        <f>Date_Design</f>
        <v> </v>
      </c>
      <c r="D59" s="265"/>
      <c r="E59" s="265"/>
      <c r="F59" s="265"/>
      <c r="G59" s="265"/>
      <c r="H59" s="265"/>
    </row>
    <row r="60" spans="2:7" ht="6.75" customHeight="1">
      <c r="B60" s="155"/>
      <c r="C60" s="155"/>
      <c r="D60" s="155"/>
      <c r="E60" s="155"/>
      <c r="F60" s="155"/>
      <c r="G60" s="155"/>
    </row>
    <row r="61" spans="1:8" s="1" customFormat="1" ht="12.75">
      <c r="A61" s="12" t="str">
        <f>Copy_Right</f>
        <v>© 2010 Fairchild Semiconductor Corporation.  All rights reserved.</v>
      </c>
      <c r="C61" s="2"/>
      <c r="G61" s="252" t="s">
        <v>80</v>
      </c>
      <c r="H61" s="252"/>
    </row>
    <row r="62" spans="1:3" s="1" customFormat="1" ht="12.75">
      <c r="A62" s="12" t="str">
        <f>CONCATENATE("Rev. ",[0]!Rev,"  ·  ",TEXT([0]!Date,"mm/dd/yyyy"),"  ·  M. Smith")</f>
        <v>Rev. 3  ·  06/01/2010  ·  M. Smith</v>
      </c>
      <c r="C62" s="2"/>
    </row>
  </sheetData>
  <sheetProtection password="995D" sheet="1" objects="1" scenarios="1" selectLockedCells="1"/>
  <mergeCells count="12">
    <mergeCell ref="C58:H58"/>
    <mergeCell ref="C59:H59"/>
    <mergeCell ref="G61:H61"/>
    <mergeCell ref="A1:H1"/>
    <mergeCell ref="A4:H4"/>
    <mergeCell ref="A3:H3"/>
    <mergeCell ref="A55:H55"/>
    <mergeCell ref="B53:C53"/>
    <mergeCell ref="B52:C52"/>
    <mergeCell ref="B6:C6"/>
    <mergeCell ref="A57:A59"/>
    <mergeCell ref="C57:H57"/>
  </mergeCells>
  <conditionalFormatting sqref="D52:D53">
    <cfRule type="expression" priority="1" dxfId="50" stopIfTrue="1">
      <formula>NOT(ISNUMBER(D52))</formula>
    </cfRule>
  </conditionalFormatting>
  <printOptions horizontalCentered="1"/>
  <pageMargins left="0.25" right="0.25" top="0.5" bottom="0.5" header="0.25" footer="0.25"/>
  <pageSetup horizontalDpi="600" verticalDpi="600" orientation="portrait" scale="93" r:id="rId4"/>
  <drawing r:id="rId3"/>
  <legacyDrawing r:id="rId2"/>
</worksheet>
</file>

<file path=xl/worksheets/sheet8.xml><?xml version="1.0" encoding="utf-8"?>
<worksheet xmlns="http://schemas.openxmlformats.org/spreadsheetml/2006/main" xmlns:r="http://schemas.openxmlformats.org/officeDocument/2006/relationships">
  <dimension ref="A1:I47"/>
  <sheetViews>
    <sheetView zoomScalePageLayoutView="0" workbookViewId="0" topLeftCell="A1">
      <selection activeCell="C7" sqref="C7"/>
    </sheetView>
  </sheetViews>
  <sheetFormatPr defaultColWidth="9.140625" defaultRowHeight="12.75"/>
  <cols>
    <col min="1" max="1" width="30.7109375" style="1" customWidth="1"/>
    <col min="2" max="2" width="10.7109375" style="1" customWidth="1"/>
    <col min="3" max="3" width="11.57421875" style="2" customWidth="1"/>
    <col min="4" max="4" width="2.8515625" style="1" customWidth="1"/>
    <col min="5" max="5" width="30.7109375" style="1" customWidth="1"/>
    <col min="6" max="6" width="10.7109375" style="1" customWidth="1"/>
    <col min="7" max="7" width="11.00390625" style="1" customWidth="1"/>
    <col min="8" max="8" width="2.7109375" style="1" customWidth="1"/>
    <col min="9" max="16384" width="9.140625" style="1" customWidth="1"/>
  </cols>
  <sheetData>
    <row r="1" spans="1:7" ht="40.5" customHeight="1">
      <c r="A1" s="278" t="s">
        <v>304</v>
      </c>
      <c r="B1" s="240"/>
      <c r="C1" s="240"/>
      <c r="D1" s="240"/>
      <c r="E1" s="240"/>
      <c r="F1" s="240"/>
      <c r="G1" s="240"/>
    </row>
    <row r="2" s="2" customFormat="1" ht="10.5">
      <c r="I2" s="192" t="s">
        <v>265</v>
      </c>
    </row>
    <row r="3" spans="1:7" s="2" customFormat="1" ht="39" customHeight="1">
      <c r="A3" s="254" t="s">
        <v>306</v>
      </c>
      <c r="B3" s="255"/>
      <c r="C3" s="255"/>
      <c r="D3" s="255"/>
      <c r="E3" s="255"/>
      <c r="F3" s="255"/>
      <c r="G3" s="256"/>
    </row>
    <row r="4" s="2" customFormat="1" ht="11.25" thickBot="1"/>
    <row r="5" spans="1:7" ht="13.5" customHeight="1" thickBot="1" thickTop="1">
      <c r="A5" s="284" t="s">
        <v>235</v>
      </c>
      <c r="B5" s="285"/>
      <c r="C5" s="285"/>
      <c r="D5" s="285"/>
      <c r="E5" s="285"/>
      <c r="F5" s="285"/>
      <c r="G5" s="286"/>
    </row>
    <row r="6" spans="1:7" ht="12.75" customHeight="1" thickTop="1">
      <c r="A6" s="205" t="s">
        <v>203</v>
      </c>
      <c r="B6" s="31" t="s">
        <v>204</v>
      </c>
      <c r="C6" s="174">
        <v>0.995</v>
      </c>
      <c r="D6" s="17"/>
      <c r="E6" s="31" t="s">
        <v>225</v>
      </c>
      <c r="F6" s="11" t="s">
        <v>226</v>
      </c>
      <c r="G6" s="42">
        <v>80</v>
      </c>
    </row>
    <row r="7" spans="1:7" ht="12.75" customHeight="1">
      <c r="A7" s="30" t="s">
        <v>205</v>
      </c>
      <c r="B7" s="30" t="s">
        <v>206</v>
      </c>
      <c r="C7" s="175">
        <v>3000</v>
      </c>
      <c r="D7" s="18"/>
      <c r="E7" s="180" t="s">
        <v>227</v>
      </c>
      <c r="F7" s="3" t="s">
        <v>228</v>
      </c>
      <c r="G7" s="72">
        <v>35</v>
      </c>
    </row>
    <row r="8" spans="1:9" ht="12.75" customHeight="1">
      <c r="A8" s="30" t="s">
        <v>208</v>
      </c>
      <c r="B8" s="30" t="s">
        <v>207</v>
      </c>
      <c r="C8" s="176">
        <v>0.5</v>
      </c>
      <c r="D8" s="18" t="s">
        <v>153</v>
      </c>
      <c r="E8" s="30" t="s">
        <v>229</v>
      </c>
      <c r="F8" s="3" t="s">
        <v>230</v>
      </c>
      <c r="G8" s="42">
        <v>8</v>
      </c>
      <c r="H8" s="1" t="s">
        <v>153</v>
      </c>
      <c r="I8" s="1" t="s">
        <v>153</v>
      </c>
    </row>
    <row r="9" spans="1:9" ht="12.75" customHeight="1">
      <c r="A9" s="30" t="s">
        <v>210</v>
      </c>
      <c r="B9" s="30" t="s">
        <v>209</v>
      </c>
      <c r="C9" s="177">
        <v>350</v>
      </c>
      <c r="D9" s="18" t="s">
        <v>153</v>
      </c>
      <c r="E9" s="209"/>
      <c r="F9" s="210"/>
      <c r="G9" s="163"/>
      <c r="I9" s="1" t="s">
        <v>153</v>
      </c>
    </row>
    <row r="10" spans="1:9" ht="12.75" customHeight="1">
      <c r="A10" s="30" t="s">
        <v>212</v>
      </c>
      <c r="B10" s="30" t="s">
        <v>211</v>
      </c>
      <c r="C10" s="177">
        <v>1</v>
      </c>
      <c r="D10" s="18"/>
      <c r="E10" s="209" t="s">
        <v>232</v>
      </c>
      <c r="F10" s="211" t="s">
        <v>231</v>
      </c>
      <c r="G10" s="212">
        <f>0.0001</f>
        <v>0.0001</v>
      </c>
      <c r="I10" s="1" t="s">
        <v>153</v>
      </c>
    </row>
    <row r="11" spans="1:7" ht="12.75" customHeight="1">
      <c r="A11" s="30" t="s">
        <v>213</v>
      </c>
      <c r="B11" s="30" t="s">
        <v>214</v>
      </c>
      <c r="C11" s="178">
        <v>1</v>
      </c>
      <c r="D11" s="18"/>
      <c r="E11" s="209" t="s">
        <v>232</v>
      </c>
      <c r="F11" s="211" t="s">
        <v>233</v>
      </c>
      <c r="G11" s="208">
        <f>4*PI()*0.0000001</f>
        <v>1.2566370614359173E-06</v>
      </c>
    </row>
    <row r="12" spans="1:9" ht="12.75" customHeight="1">
      <c r="A12" s="32" t="s">
        <v>215</v>
      </c>
      <c r="B12" s="30" t="s">
        <v>216</v>
      </c>
      <c r="C12" s="44">
        <v>360</v>
      </c>
      <c r="D12" s="18"/>
      <c r="E12" s="209" t="s">
        <v>232</v>
      </c>
      <c r="F12" s="211" t="s">
        <v>234</v>
      </c>
      <c r="G12" s="212">
        <f>0.000000001</f>
        <v>1E-09</v>
      </c>
      <c r="I12" s="1" t="s">
        <v>153</v>
      </c>
    </row>
    <row r="13" spans="1:7" ht="12.75" customHeight="1">
      <c r="A13" s="30" t="s">
        <v>217</v>
      </c>
      <c r="B13" s="30" t="s">
        <v>218</v>
      </c>
      <c r="C13" s="44">
        <v>150</v>
      </c>
      <c r="D13" s="18"/>
      <c r="E13" s="209"/>
      <c r="F13" s="211"/>
      <c r="G13" s="163"/>
    </row>
    <row r="14" spans="1:7" ht="12.75" customHeight="1">
      <c r="A14" s="180" t="s">
        <v>219</v>
      </c>
      <c r="B14" s="30" t="s">
        <v>220</v>
      </c>
      <c r="C14" s="179">
        <v>0.95</v>
      </c>
      <c r="D14" s="18"/>
      <c r="E14" s="209"/>
      <c r="F14" s="211"/>
      <c r="G14" s="163"/>
    </row>
    <row r="15" spans="1:7" ht="12.75" customHeight="1">
      <c r="A15" s="30" t="s">
        <v>221</v>
      </c>
      <c r="B15" s="30" t="s">
        <v>222</v>
      </c>
      <c r="C15" s="42">
        <v>390</v>
      </c>
      <c r="D15" s="18" t="s">
        <v>153</v>
      </c>
      <c r="E15" s="209"/>
      <c r="F15" s="211"/>
      <c r="G15" s="163"/>
    </row>
    <row r="16" spans="1:7" ht="21.75" thickBot="1">
      <c r="A16" s="180" t="s">
        <v>223</v>
      </c>
      <c r="B16" s="30" t="s">
        <v>224</v>
      </c>
      <c r="C16" s="42">
        <v>265</v>
      </c>
      <c r="D16" s="18"/>
      <c r="E16" s="209"/>
      <c r="F16" s="211"/>
      <c r="G16" s="163"/>
    </row>
    <row r="17" spans="1:7" ht="12.75" customHeight="1" thickBot="1" thickTop="1">
      <c r="A17" s="181" t="s">
        <v>247</v>
      </c>
      <c r="B17" s="130"/>
      <c r="C17" s="130"/>
      <c r="D17" s="130"/>
      <c r="E17" s="132"/>
      <c r="F17" s="132"/>
      <c r="G17" s="132"/>
    </row>
    <row r="18" spans="1:7" ht="24.75" customHeight="1" thickTop="1">
      <c r="A18" s="34" t="s">
        <v>237</v>
      </c>
      <c r="B18" s="50" t="s">
        <v>236</v>
      </c>
      <c r="C18" s="185">
        <f>Po_ch*100000000*FK*unit/(4*eff_m*dB*Fs_min*1000*WF*CD*UF)*10000</f>
        <v>0.2051071684955389</v>
      </c>
      <c r="D18" s="9"/>
      <c r="E18" s="134" t="s">
        <v>249</v>
      </c>
      <c r="F18" s="134" t="s">
        <v>248</v>
      </c>
      <c r="G18" s="186">
        <f>2*SQRT(2)*Po_ch/(eff_pfc*V_Line_min)</f>
        <v>5.582421956735902</v>
      </c>
    </row>
    <row r="19" spans="1:7" ht="21">
      <c r="A19" s="183" t="s">
        <v>239</v>
      </c>
      <c r="B19" s="213" t="s">
        <v>238</v>
      </c>
      <c r="C19" s="184">
        <v>0.324</v>
      </c>
      <c r="D19" s="6"/>
      <c r="E19" s="134" t="s">
        <v>250</v>
      </c>
      <c r="F19" s="134" t="s">
        <v>251</v>
      </c>
      <c r="G19" s="187">
        <f>eff_pfc*V_Line_minf*V_Line_minf/(2*Po_ch*Fs_min*1000)*(Vout_pfc-SQRT(2)*V_Line_minf)/Vout_pfc*1000000</f>
        <v>248.17524727874496</v>
      </c>
    </row>
    <row r="20" spans="1:7" ht="12.75">
      <c r="A20" s="183" t="s">
        <v>240</v>
      </c>
      <c r="B20" s="35" t="s">
        <v>241</v>
      </c>
      <c r="C20" s="236">
        <v>69</v>
      </c>
      <c r="D20" s="6"/>
      <c r="E20" s="134" t="s">
        <v>252</v>
      </c>
      <c r="F20" s="134" t="s">
        <v>254</v>
      </c>
      <c r="G20" s="182">
        <f>IL_pk*L_pfc*0.000001/(Ae_core*0.000001*dB/10000)</f>
        <v>66.92845166798202</v>
      </c>
    </row>
    <row r="21" spans="1:7" ht="12.75" customHeight="1">
      <c r="A21" s="35" t="s">
        <v>271</v>
      </c>
      <c r="B21" s="35" t="s">
        <v>242</v>
      </c>
      <c r="C21" s="237">
        <v>52.9</v>
      </c>
      <c r="D21" s="6"/>
      <c r="E21" s="134" t="s">
        <v>255</v>
      </c>
      <c r="F21" s="134" t="s">
        <v>253</v>
      </c>
      <c r="G21" s="188">
        <f>L_pfc*0.000001/(N_boost*N_boost)*1000000</f>
        <v>0.05540346247567777</v>
      </c>
    </row>
    <row r="22" spans="1:7" ht="12.75">
      <c r="A22" s="35" t="s">
        <v>243</v>
      </c>
      <c r="B22" s="35" t="s">
        <v>244</v>
      </c>
      <c r="C22" s="237">
        <v>20.1</v>
      </c>
      <c r="D22" s="6"/>
      <c r="E22" s="134" t="s">
        <v>256</v>
      </c>
      <c r="F22" s="134" t="s">
        <v>257</v>
      </c>
      <c r="G22" s="189">
        <f>uo*N_boost*N_boost*Ae_core*0.000001/(L_pfc*0.000001)*1000</f>
        <v>1.5650277683843903</v>
      </c>
    </row>
    <row r="23" spans="1:7" ht="13.5" thickBot="1">
      <c r="A23" s="35" t="s">
        <v>245</v>
      </c>
      <c r="B23" s="35" t="s">
        <v>246</v>
      </c>
      <c r="C23" s="236">
        <v>52.3</v>
      </c>
      <c r="D23" s="6"/>
      <c r="E23" s="134" t="s">
        <v>258</v>
      </c>
      <c r="F23" s="134" t="s">
        <v>259</v>
      </c>
      <c r="G23" s="190">
        <f>Fs_min*10</f>
        <v>350</v>
      </c>
    </row>
    <row r="24" spans="1:7" ht="12" customHeight="1" thickTop="1">
      <c r="A24" s="287" t="s">
        <v>260</v>
      </c>
      <c r="B24" s="288"/>
      <c r="C24" s="288"/>
      <c r="D24" s="288"/>
      <c r="E24" s="288"/>
      <c r="F24" s="288"/>
      <c r="G24" s="289"/>
    </row>
    <row r="25" spans="1:7" ht="12" customHeight="1">
      <c r="A25" s="183" t="s">
        <v>261</v>
      </c>
      <c r="B25" s="35" t="s">
        <v>262</v>
      </c>
      <c r="C25" s="27">
        <f>Po_ch/(eff_pfc*V_Line_min)</f>
        <v>1.9736842105263157</v>
      </c>
      <c r="D25" s="6"/>
      <c r="E25" s="134" t="s">
        <v>270</v>
      </c>
      <c r="F25" s="134" t="s">
        <v>273</v>
      </c>
      <c r="G25" s="182">
        <f>N_boost*V_zcd/(Vout_pfc*0.5)</f>
        <v>2.7457826325325954</v>
      </c>
    </row>
    <row r="26" spans="1:7" ht="21">
      <c r="A26" s="183" t="s">
        <v>263</v>
      </c>
      <c r="B26" s="35" t="s">
        <v>264</v>
      </c>
      <c r="C26" s="191">
        <f>I_in*CD</f>
        <v>690.7894736842105</v>
      </c>
      <c r="D26" s="6"/>
      <c r="E26" s="193" t="s">
        <v>272</v>
      </c>
      <c r="F26" s="193" t="s">
        <v>274</v>
      </c>
      <c r="G26" s="197">
        <f>CEILING(N_zcd,1)</f>
        <v>3</v>
      </c>
    </row>
    <row r="27" spans="1:7" ht="12.75">
      <c r="A27" s="194" t="s">
        <v>266</v>
      </c>
      <c r="B27" s="195" t="s">
        <v>267</v>
      </c>
      <c r="C27" s="196">
        <f>65/SQRT(Fs_max*1000)</f>
        <v>0.10987005311470716</v>
      </c>
      <c r="D27" s="6"/>
      <c r="E27" s="193"/>
      <c r="F27" s="193"/>
      <c r="G27" s="193"/>
    </row>
    <row r="28" spans="1:7" ht="21">
      <c r="A28" s="194" t="s">
        <v>268</v>
      </c>
      <c r="B28" s="35" t="s">
        <v>269</v>
      </c>
      <c r="C28" s="196">
        <f>2*SD</f>
        <v>0.2197401062294143</v>
      </c>
      <c r="D28" s="6"/>
      <c r="E28" s="193"/>
      <c r="F28" s="193"/>
      <c r="G28" s="193"/>
    </row>
    <row r="29" spans="1:7" ht="13.5" thickBot="1">
      <c r="A29" s="290" t="s">
        <v>293</v>
      </c>
      <c r="B29" s="291"/>
      <c r="C29" s="291"/>
      <c r="D29" s="291"/>
      <c r="E29" s="291"/>
      <c r="F29" s="291"/>
      <c r="G29" s="291"/>
    </row>
    <row r="30" spans="1:7" ht="23.25" thickTop="1">
      <c r="A30" s="198" t="s">
        <v>276</v>
      </c>
      <c r="B30" s="37" t="s">
        <v>275</v>
      </c>
      <c r="C30" s="199">
        <f>53.1824*0.001</f>
        <v>0.053182400000000005</v>
      </c>
      <c r="D30" s="10"/>
      <c r="E30" s="38" t="s">
        <v>284</v>
      </c>
      <c r="F30" s="38" t="s">
        <v>285</v>
      </c>
      <c r="G30" s="204">
        <v>0.07</v>
      </c>
    </row>
    <row r="31" spans="1:7" ht="21">
      <c r="A31" s="200" t="s">
        <v>277</v>
      </c>
      <c r="B31" s="201" t="s">
        <v>278</v>
      </c>
      <c r="C31" s="202">
        <v>0.7366</v>
      </c>
      <c r="D31" s="7"/>
      <c r="E31" s="38" t="s">
        <v>153</v>
      </c>
      <c r="F31" s="201" t="s">
        <v>286</v>
      </c>
      <c r="G31" s="203">
        <f>2*N_cu_layers</f>
        <v>10</v>
      </c>
    </row>
    <row r="32" spans="1:8" ht="21">
      <c r="A32" s="214" t="s">
        <v>40</v>
      </c>
      <c r="B32" s="215" t="s">
        <v>279</v>
      </c>
      <c r="C32" s="216">
        <f>litz_mean_OD*2</f>
        <v>1.4732</v>
      </c>
      <c r="D32" s="217"/>
      <c r="E32" s="218" t="s">
        <v>288</v>
      </c>
      <c r="F32" s="214" t="s">
        <v>287</v>
      </c>
      <c r="G32" s="219">
        <f>N_cu_layers*WW*litz_mean_OD/2</f>
        <v>37.01415</v>
      </c>
      <c r="H32" s="220"/>
    </row>
    <row r="33" spans="1:8" ht="21">
      <c r="A33" s="214" t="s">
        <v>280</v>
      </c>
      <c r="B33" s="214" t="s">
        <v>281</v>
      </c>
      <c r="C33" s="221">
        <f>ROUND(WW/litz_OD_wound,0)</f>
        <v>14</v>
      </c>
      <c r="D33" s="217"/>
      <c r="E33" s="218" t="s">
        <v>289</v>
      </c>
      <c r="F33" s="214" t="s">
        <v>290</v>
      </c>
      <c r="G33" s="222">
        <f>N_tape_layers*tape_thick*WW</f>
        <v>14.070000000000002</v>
      </c>
      <c r="H33" s="220"/>
    </row>
    <row r="34" spans="1:8" ht="12.75">
      <c r="A34" s="214" t="s">
        <v>282</v>
      </c>
      <c r="B34" s="214" t="s">
        <v>283</v>
      </c>
      <c r="C34" s="221">
        <f>ROUND(N_boost/Turns_layer,0)</f>
        <v>5</v>
      </c>
      <c r="D34" s="217"/>
      <c r="E34" s="214" t="s">
        <v>292</v>
      </c>
      <c r="F34" s="215" t="s">
        <v>291</v>
      </c>
      <c r="G34" s="219">
        <f>Cu_Area+tape_Area</f>
        <v>51.08415</v>
      </c>
      <c r="H34" s="220"/>
    </row>
    <row r="35" spans="1:8" ht="13.5" customHeight="1" thickBot="1">
      <c r="A35" s="223" t="s">
        <v>294</v>
      </c>
      <c r="B35" s="224"/>
      <c r="C35" s="224"/>
      <c r="D35" s="224"/>
      <c r="E35" s="224"/>
      <c r="F35" s="224"/>
      <c r="G35" s="224"/>
      <c r="H35" s="220"/>
    </row>
    <row r="36" spans="1:8" ht="21.75" thickTop="1">
      <c r="A36" s="225" t="s">
        <v>298</v>
      </c>
      <c r="B36" s="226" t="s">
        <v>295</v>
      </c>
      <c r="C36" s="227">
        <f>N_boost*MLT*Res_litz*0.001</f>
        <v>0.18829308989452748</v>
      </c>
      <c r="D36" s="228"/>
      <c r="E36" s="218" t="s">
        <v>296</v>
      </c>
      <c r="F36" s="214" t="s">
        <v>297</v>
      </c>
      <c r="G36" s="229">
        <f>I_in*I_in*Rdc</f>
        <v>0.7334824312027126</v>
      </c>
      <c r="H36" s="220"/>
    </row>
    <row r="37" spans="1:8" ht="12.75">
      <c r="A37" s="230"/>
      <c r="B37" s="231"/>
      <c r="C37" s="232"/>
      <c r="D37" s="233"/>
      <c r="E37" s="230"/>
      <c r="F37" s="231"/>
      <c r="G37" s="234"/>
      <c r="H37" s="220"/>
    </row>
    <row r="38" spans="1:8" ht="12.75">
      <c r="A38" s="220"/>
      <c r="B38" s="220"/>
      <c r="C38" s="235"/>
      <c r="D38" s="220"/>
      <c r="E38" s="220"/>
      <c r="F38" s="220"/>
      <c r="G38" s="220"/>
      <c r="H38" s="220"/>
    </row>
    <row r="39" spans="1:7" ht="37.5" customHeight="1">
      <c r="A39" s="259" t="s">
        <v>161</v>
      </c>
      <c r="B39" s="260"/>
      <c r="C39" s="260"/>
      <c r="D39" s="260"/>
      <c r="E39" s="260"/>
      <c r="F39" s="260"/>
      <c r="G39" s="261"/>
    </row>
    <row r="40" spans="1:7" ht="12.75">
      <c r="A40" s="157"/>
      <c r="B40" s="157"/>
      <c r="C40" s="157"/>
      <c r="D40" s="157"/>
      <c r="E40" s="157"/>
      <c r="F40" s="157"/>
      <c r="G40" s="157"/>
    </row>
    <row r="41" ht="12.75"/>
    <row r="42" spans="1:7" ht="12.75">
      <c r="A42" s="246" t="s">
        <v>199</v>
      </c>
      <c r="B42" s="158" t="s">
        <v>194</v>
      </c>
      <c r="C42" s="262" t="str">
        <f>Project</f>
        <v> </v>
      </c>
      <c r="D42" s="263"/>
      <c r="E42" s="263"/>
      <c r="F42" s="263"/>
      <c r="G42" s="263"/>
    </row>
    <row r="43" spans="1:7" ht="12.75">
      <c r="A43" s="247"/>
      <c r="B43" s="158" t="s">
        <v>195</v>
      </c>
      <c r="C43" s="262" t="str">
        <f>Designer</f>
        <v> </v>
      </c>
      <c r="D43" s="263"/>
      <c r="E43" s="263"/>
      <c r="F43" s="263"/>
      <c r="G43" s="263"/>
    </row>
    <row r="44" spans="1:7" ht="12" customHeight="1">
      <c r="A44" s="247"/>
      <c r="B44" s="159" t="s">
        <v>90</v>
      </c>
      <c r="C44" s="264" t="str">
        <f>Date_Design</f>
        <v> </v>
      </c>
      <c r="D44" s="265"/>
      <c r="E44" s="265"/>
      <c r="F44" s="265"/>
      <c r="G44" s="265"/>
    </row>
    <row r="45" spans="1:7" ht="12.75">
      <c r="A45" s="131"/>
      <c r="B45" s="131"/>
      <c r="C45" s="131"/>
      <c r="D45" s="131"/>
      <c r="E45" s="131"/>
      <c r="F45" s="131"/>
      <c r="G45" s="131"/>
    </row>
    <row r="46" spans="1:7" ht="12.75">
      <c r="A46" s="12" t="str">
        <f>Copy_Right</f>
        <v>© 2010 Fairchild Semiconductor Corporation.  All rights reserved.</v>
      </c>
      <c r="F46" s="252" t="s">
        <v>80</v>
      </c>
      <c r="G46" s="252"/>
    </row>
    <row r="47" ht="12.75">
      <c r="A47" s="12" t="str">
        <f>CONCATENATE("Rev. ",[0]!Rev,"  ·  ",TEXT([0]!Date,"mm/dd/yyyy"),"  ·  M. Smith")</f>
        <v>Rev. 3  ·  06/01/2010  ·  M. Smith</v>
      </c>
    </row>
  </sheetData>
  <sheetProtection password="995D" sheet="1" objects="1" scenarios="1" selectLockedCells="1"/>
  <mergeCells count="11">
    <mergeCell ref="C44:G44"/>
    <mergeCell ref="A1:G1"/>
    <mergeCell ref="A3:G3"/>
    <mergeCell ref="A5:G5"/>
    <mergeCell ref="A24:G24"/>
    <mergeCell ref="F46:G46"/>
    <mergeCell ref="A29:G29"/>
    <mergeCell ref="A39:G39"/>
    <mergeCell ref="A42:A44"/>
    <mergeCell ref="C42:G42"/>
    <mergeCell ref="C43:G43"/>
  </mergeCells>
  <conditionalFormatting sqref="C6">
    <cfRule type="expression" priority="3" dxfId="0" stopIfTrue="1">
      <formula>$C$6&gt;1</formula>
    </cfRule>
    <cfRule type="expression" priority="52" dxfId="0" stopIfTrue="1">
      <formula>NOT(ISNUMBER($C$6))</formula>
    </cfRule>
  </conditionalFormatting>
  <conditionalFormatting sqref="C7">
    <cfRule type="expression" priority="51" dxfId="0" stopIfTrue="1">
      <formula>NOT(ISNUMBER($C$7))</formula>
    </cfRule>
  </conditionalFormatting>
  <conditionalFormatting sqref="C8">
    <cfRule type="expression" priority="2" dxfId="0" stopIfTrue="1">
      <formula>$C$8&gt;1</formula>
    </cfRule>
    <cfRule type="expression" priority="50" dxfId="0" stopIfTrue="1">
      <formula>NOT(ISNUMBER($C$8))</formula>
    </cfRule>
  </conditionalFormatting>
  <conditionalFormatting sqref="C9">
    <cfRule type="expression" priority="49" dxfId="0" stopIfTrue="1">
      <formula>NOT(ISNUMBER($C$9))</formula>
    </cfRule>
  </conditionalFormatting>
  <conditionalFormatting sqref="C10">
    <cfRule type="expression" priority="48" dxfId="0" stopIfTrue="1">
      <formula>NOT(ISNUMBER($C$10))</formula>
    </cfRule>
  </conditionalFormatting>
  <conditionalFormatting sqref="C11">
    <cfRule type="expression" priority="47" dxfId="0" stopIfTrue="1">
      <formula>NOT(ISNUMBER($C$11))</formula>
    </cfRule>
  </conditionalFormatting>
  <conditionalFormatting sqref="C12">
    <cfRule type="expression" priority="46" dxfId="0" stopIfTrue="1">
      <formula>NOT(ISNUMBER($C$12))</formula>
    </cfRule>
  </conditionalFormatting>
  <conditionalFormatting sqref="C13">
    <cfRule type="expression" priority="45" dxfId="0" stopIfTrue="1">
      <formula>NOT(ISNUMBER($C$13))</formula>
    </cfRule>
  </conditionalFormatting>
  <conditionalFormatting sqref="C14">
    <cfRule type="expression" priority="1" dxfId="0" stopIfTrue="1">
      <formula>$C$14&gt;1</formula>
    </cfRule>
    <cfRule type="expression" priority="44" dxfId="0" stopIfTrue="1">
      <formula>NOT(ISNUMBER($C$14))</formula>
    </cfRule>
  </conditionalFormatting>
  <conditionalFormatting sqref="C15">
    <cfRule type="expression" priority="43" dxfId="0" stopIfTrue="1">
      <formula>NOT(ISNUMBER($C$15))</formula>
    </cfRule>
  </conditionalFormatting>
  <conditionalFormatting sqref="C16">
    <cfRule type="expression" priority="42" dxfId="0" stopIfTrue="1">
      <formula>NOT(ISNUMBER($C$16))</formula>
    </cfRule>
  </conditionalFormatting>
  <conditionalFormatting sqref="G6">
    <cfRule type="expression" priority="41" dxfId="0" stopIfTrue="1">
      <formula>NOT(ISNUMBER($G$6))</formula>
    </cfRule>
  </conditionalFormatting>
  <conditionalFormatting sqref="G7">
    <cfRule type="expression" priority="40" dxfId="0" stopIfTrue="1">
      <formula>NOT(ISNUMBER($G$7))</formula>
    </cfRule>
  </conditionalFormatting>
  <conditionalFormatting sqref="G8">
    <cfRule type="expression" priority="39" dxfId="0" stopIfTrue="1">
      <formula>NOT(ISNUMBER($G$8))</formula>
    </cfRule>
  </conditionalFormatting>
  <conditionalFormatting sqref="C18">
    <cfRule type="expression" priority="38" dxfId="0" stopIfTrue="1">
      <formula>NOT(ISNUMBER($C$18))</formula>
    </cfRule>
  </conditionalFormatting>
  <conditionalFormatting sqref="C19">
    <cfRule type="expression" priority="37" dxfId="0" stopIfTrue="1">
      <formula>NOT(ISNUMBER($C$19))</formula>
    </cfRule>
  </conditionalFormatting>
  <conditionalFormatting sqref="C20">
    <cfRule type="expression" priority="36" dxfId="0" stopIfTrue="1">
      <formula>NOT(ISNUMBER($C$20))</formula>
    </cfRule>
  </conditionalFormatting>
  <conditionalFormatting sqref="C21">
    <cfRule type="expression" priority="35" dxfId="0" stopIfTrue="1">
      <formula>NOT(ISNUMBER($C$21))</formula>
    </cfRule>
  </conditionalFormatting>
  <conditionalFormatting sqref="C22">
    <cfRule type="expression" priority="34" dxfId="0" stopIfTrue="1">
      <formula>NOT(ISNUMBER($C$22))</formula>
    </cfRule>
  </conditionalFormatting>
  <conditionalFormatting sqref="C23">
    <cfRule type="expression" priority="33" dxfId="0" stopIfTrue="1">
      <formula>NOT(ISNUMBER($C$23))</formula>
    </cfRule>
  </conditionalFormatting>
  <conditionalFormatting sqref="G10">
    <cfRule type="expression" priority="32" dxfId="0" stopIfTrue="1">
      <formula>NOT(ISNUMBER($G$10))</formula>
    </cfRule>
  </conditionalFormatting>
  <conditionalFormatting sqref="G11">
    <cfRule type="expression" priority="31" dxfId="0" stopIfTrue="1">
      <formula>NOT(ISNUMBER($G$11))</formula>
    </cfRule>
  </conditionalFormatting>
  <conditionalFormatting sqref="G12">
    <cfRule type="expression" priority="30" dxfId="0" stopIfTrue="1">
      <formula>NOT(ISNUMBER($G$12))</formula>
    </cfRule>
  </conditionalFormatting>
  <conditionalFormatting sqref="G18">
    <cfRule type="expression" priority="29" dxfId="0" stopIfTrue="1">
      <formula>NOT(ISNUMBER($G$18))</formula>
    </cfRule>
  </conditionalFormatting>
  <conditionalFormatting sqref="G19">
    <cfRule type="expression" priority="28" dxfId="0" stopIfTrue="1">
      <formula>NOT(ISNUMBER($G$19))</formula>
    </cfRule>
  </conditionalFormatting>
  <conditionalFormatting sqref="G20">
    <cfRule type="expression" priority="27" dxfId="0" stopIfTrue="1">
      <formula>NOT(ISNUMBER($G$20))</formula>
    </cfRule>
  </conditionalFormatting>
  <conditionalFormatting sqref="G21">
    <cfRule type="expression" priority="26" dxfId="0" stopIfTrue="1">
      <formula>NOT(ISNUMBER($G$21))</formula>
    </cfRule>
  </conditionalFormatting>
  <conditionalFormatting sqref="G22">
    <cfRule type="expression" priority="25" dxfId="0" stopIfTrue="1">
      <formula>NOT(ISNUMBER($G$22))</formula>
    </cfRule>
  </conditionalFormatting>
  <conditionalFormatting sqref="G23">
    <cfRule type="expression" priority="24" dxfId="0" stopIfTrue="1">
      <formula>NOT(ISNUMBER($G$23))</formula>
    </cfRule>
  </conditionalFormatting>
  <conditionalFormatting sqref="C25">
    <cfRule type="expression" priority="23" dxfId="0" stopIfTrue="1">
      <formula>NOT(ISNUMBER($C$25))</formula>
    </cfRule>
  </conditionalFormatting>
  <conditionalFormatting sqref="C26">
    <cfRule type="expression" priority="22" dxfId="0" stopIfTrue="1">
      <formula>NOT(ISNUMBER($C$26))</formula>
    </cfRule>
  </conditionalFormatting>
  <conditionalFormatting sqref="C27">
    <cfRule type="expression" priority="21" dxfId="0" stopIfTrue="1">
      <formula>NOT(ISNUMBER($C$27))</formula>
    </cfRule>
  </conditionalFormatting>
  <conditionalFormatting sqref="C28">
    <cfRule type="expression" priority="20" dxfId="0" stopIfTrue="1">
      <formula>NOT(ISNUMBER($C$28))</formula>
    </cfRule>
  </conditionalFormatting>
  <conditionalFormatting sqref="G25">
    <cfRule type="expression" priority="19" dxfId="0" stopIfTrue="1">
      <formula>NOT(ISNUMBER($G$25))</formula>
    </cfRule>
  </conditionalFormatting>
  <conditionalFormatting sqref="G26">
    <cfRule type="expression" priority="18" dxfId="0" stopIfTrue="1">
      <formula>NOT(ISNUMBER($G$26))</formula>
    </cfRule>
  </conditionalFormatting>
  <conditionalFormatting sqref="C30">
    <cfRule type="expression" priority="15" dxfId="0" stopIfTrue="1">
      <formula>NOT(ISNUMBER($C$30))</formula>
    </cfRule>
  </conditionalFormatting>
  <conditionalFormatting sqref="C31">
    <cfRule type="expression" priority="14" dxfId="0" stopIfTrue="1">
      <formula>NOT(ISNUMBER($C$31))</formula>
    </cfRule>
  </conditionalFormatting>
  <conditionalFormatting sqref="C32">
    <cfRule type="expression" priority="13" dxfId="0" stopIfTrue="1">
      <formula>NOT(ISNUMBER($C$32))</formula>
    </cfRule>
  </conditionalFormatting>
  <conditionalFormatting sqref="C33">
    <cfRule type="expression" priority="12" dxfId="0" stopIfTrue="1">
      <formula>NOT(ISNUMBER($C$33))</formula>
    </cfRule>
  </conditionalFormatting>
  <conditionalFormatting sqref="C34">
    <cfRule type="expression" priority="11" dxfId="0" stopIfTrue="1">
      <formula>NOT(ISNUMBER($C$34))</formula>
    </cfRule>
  </conditionalFormatting>
  <conditionalFormatting sqref="G30">
    <cfRule type="expression" priority="10" dxfId="0" stopIfTrue="1">
      <formula>NOT(ISNUMBER($G$30))</formula>
    </cfRule>
  </conditionalFormatting>
  <conditionalFormatting sqref="G31">
    <cfRule type="expression" priority="9" dxfId="0" stopIfTrue="1">
      <formula>NOT(ISNUMBER($G$31))</formula>
    </cfRule>
  </conditionalFormatting>
  <conditionalFormatting sqref="G32">
    <cfRule type="expression" priority="8" dxfId="0" stopIfTrue="1">
      <formula>NOT(ISNUMBER($G$32))</formula>
    </cfRule>
  </conditionalFormatting>
  <conditionalFormatting sqref="G33">
    <cfRule type="expression" priority="7" dxfId="0" stopIfTrue="1">
      <formula>NOT(ISNUMBER($G$33))</formula>
    </cfRule>
  </conditionalFormatting>
  <conditionalFormatting sqref="G34">
    <cfRule type="expression" priority="6" dxfId="0" stopIfTrue="1">
      <formula>NOT(ISNUMBER($G$34))</formula>
    </cfRule>
  </conditionalFormatting>
  <conditionalFormatting sqref="G36">
    <cfRule type="expression" priority="5" dxfId="0" stopIfTrue="1">
      <formula>NOT(ISNUMBER($G$36))</formula>
    </cfRule>
  </conditionalFormatting>
  <conditionalFormatting sqref="C36">
    <cfRule type="expression" priority="4" dxfId="0" stopIfTrue="1">
      <formula>NOT(ISNUMBER($C$36))</formula>
    </cfRule>
  </conditionalFormatting>
  <dataValidations count="1">
    <dataValidation allowBlank="1" sqref="C6"/>
  </dataValidations>
  <printOptions horizontalCentered="1"/>
  <pageMargins left="0.25" right="0.25" top="0.5" bottom="0.5" header="0.25" footer="0.25"/>
  <pageSetup horizontalDpi="600" verticalDpi="600" orientation="portrait" scale="95" r:id="rId6"/>
  <drawing r:id="rId5"/>
  <legacyDrawing r:id="rId4"/>
  <oleObjects>
    <oleObject progId="Excel.Sheet.12" shapeId="772082" r:id="rId2"/>
    <oleObject progId="Excel.Sheet.12" shapeId="772083" r:id="rId3"/>
  </oleObjects>
</worksheet>
</file>

<file path=xl/worksheets/sheet9.xml><?xml version="1.0" encoding="utf-8"?>
<worksheet xmlns="http://schemas.openxmlformats.org/spreadsheetml/2006/main" xmlns:r="http://schemas.openxmlformats.org/officeDocument/2006/relationships">
  <dimension ref="A1:S194"/>
  <sheetViews>
    <sheetView zoomScalePageLayoutView="0" workbookViewId="0" topLeftCell="A1">
      <selection activeCell="A4" sqref="A4"/>
    </sheetView>
  </sheetViews>
  <sheetFormatPr defaultColWidth="9.140625" defaultRowHeight="12.75"/>
  <cols>
    <col min="2" max="2" width="10.7109375" style="0" customWidth="1"/>
    <col min="3" max="3" width="11.7109375" style="0" customWidth="1"/>
    <col min="10" max="10" width="7.7109375" style="0" customWidth="1"/>
    <col min="11" max="11" width="7.8515625" style="0" customWidth="1"/>
    <col min="12" max="12" width="8.140625" style="0" customWidth="1"/>
    <col min="13" max="13" width="7.8515625" style="0" customWidth="1"/>
    <col min="14" max="14" width="7.57421875" style="0" customWidth="1"/>
    <col min="15" max="15" width="9.00390625" style="0" customWidth="1"/>
    <col min="16" max="16" width="11.421875" style="0" customWidth="1"/>
    <col min="17" max="17" width="13.140625" style="0" customWidth="1"/>
    <col min="18" max="18" width="8.140625" style="0" customWidth="1"/>
    <col min="19" max="19" width="10.140625" style="0" customWidth="1"/>
  </cols>
  <sheetData>
    <row r="1" spans="1:9" ht="12.75">
      <c r="A1" s="240" t="s">
        <v>305</v>
      </c>
      <c r="B1" s="240"/>
      <c r="C1" s="240"/>
      <c r="D1" s="240"/>
      <c r="E1" s="240"/>
      <c r="F1" s="240"/>
      <c r="G1" s="240"/>
      <c r="H1" s="292"/>
      <c r="I1" s="292"/>
    </row>
    <row r="2" spans="1:9" ht="12.75">
      <c r="A2" s="292"/>
      <c r="B2" s="292"/>
      <c r="C2" s="292"/>
      <c r="D2" s="292"/>
      <c r="E2" s="292"/>
      <c r="F2" s="292"/>
      <c r="G2" s="292"/>
      <c r="H2" s="292"/>
      <c r="I2" s="292"/>
    </row>
    <row r="3" spans="1:9" ht="12.75">
      <c r="A3" s="292"/>
      <c r="B3" s="292"/>
      <c r="C3" s="292"/>
      <c r="D3" s="292"/>
      <c r="E3" s="292"/>
      <c r="F3" s="292"/>
      <c r="G3" s="292"/>
      <c r="H3" s="292"/>
      <c r="I3" s="292"/>
    </row>
    <row r="4" spans="11:15" ht="12.75">
      <c r="K4" s="144" t="s">
        <v>197</v>
      </c>
      <c r="L4" s="144">
        <f>Io_dc+0.001</f>
        <v>0.9677152344407138</v>
      </c>
      <c r="M4" t="s">
        <v>198</v>
      </c>
      <c r="O4" s="144"/>
    </row>
    <row r="5" spans="11:17" ht="12.75">
      <c r="K5" s="144" t="s">
        <v>165</v>
      </c>
      <c r="L5" s="146">
        <f>2/(2*PI()*(Vout_actual/(Io_dcp))*Cout_actual*0.000001)</f>
        <v>1.751177921210556</v>
      </c>
      <c r="M5" s="145" t="s">
        <v>169</v>
      </c>
      <c r="O5" s="144" t="s">
        <v>172</v>
      </c>
      <c r="P5" s="146">
        <f>Iopk_actual/4.1*(Vout_actual/(Io_dcp))/2</f>
        <v>63.31334229210461</v>
      </c>
      <c r="Q5" s="146"/>
    </row>
    <row r="6" spans="11:17" ht="12.75">
      <c r="K6" s="144" t="s">
        <v>174</v>
      </c>
      <c r="L6" s="146">
        <f>3/Vout_actual*0.00008/(2*PI()*Ccomplf_actual*0.000000001)</f>
        <v>0.24499206057259407</v>
      </c>
      <c r="M6" s="145" t="s">
        <v>169</v>
      </c>
      <c r="O6" s="144" t="s">
        <v>173</v>
      </c>
      <c r="P6" s="146">
        <f>2*PI()*fp</f>
        <v>11.002975384807456</v>
      </c>
      <c r="Q6" s="146"/>
    </row>
    <row r="7" spans="11:15" ht="12.75">
      <c r="K7" s="144" t="s">
        <v>170</v>
      </c>
      <c r="L7" s="146">
        <f>1/(2*PI()*Rcomp_actual*1000*Ccomplf_actual*0.000000001)</f>
        <v>5.9925051053087595</v>
      </c>
      <c r="M7" s="145" t="s">
        <v>169</v>
      </c>
      <c r="O7" s="144"/>
    </row>
    <row r="8" spans="11:15" ht="12.75">
      <c r="K8" s="144" t="s">
        <v>171</v>
      </c>
      <c r="L8" s="146">
        <f>1/(2*PI()*Rcomp_actual*1000*Ccomphf_actual*0.000000001)</f>
        <v>155.80513273802777</v>
      </c>
      <c r="M8" s="145" t="s">
        <v>169</v>
      </c>
      <c r="O8" s="144"/>
    </row>
    <row r="9" spans="11:15" ht="12.75">
      <c r="K9" s="144"/>
      <c r="L9" s="146"/>
      <c r="M9" s="145"/>
      <c r="O9" s="144"/>
    </row>
    <row r="10" spans="11:16" ht="12.75">
      <c r="K10" s="144" t="s">
        <v>175</v>
      </c>
      <c r="L10" s="146">
        <f>2*PI()*f1a</f>
        <v>1.5393305153653742</v>
      </c>
      <c r="M10" s="145"/>
      <c r="O10" s="144" t="s">
        <v>183</v>
      </c>
      <c r="P10" s="146">
        <f>MIN(Q15:Q140)</f>
        <v>0.4098588041155464</v>
      </c>
    </row>
    <row r="11" spans="11:17" ht="12.75">
      <c r="K11" s="144" t="s">
        <v>177</v>
      </c>
      <c r="L11" s="146">
        <f>2*PI()*fcz</f>
        <v>37.65202003087466</v>
      </c>
      <c r="M11" s="145"/>
      <c r="O11" s="149" t="s">
        <v>186</v>
      </c>
      <c r="P11" s="148">
        <f>MAX(R15:R140)</f>
        <v>6.309573444801954</v>
      </c>
      <c r="Q11" t="s">
        <v>169</v>
      </c>
    </row>
    <row r="12" spans="11:17" ht="12.75">
      <c r="K12" s="144" t="s">
        <v>176</v>
      </c>
      <c r="L12" s="146">
        <f>2*PI()*fcp</f>
        <v>978.9525208027412</v>
      </c>
      <c r="O12" s="149" t="s">
        <v>187</v>
      </c>
      <c r="P12" s="148">
        <f>MAX(S15:S140)</f>
        <v>59.668995758365824</v>
      </c>
      <c r="Q12" t="s">
        <v>185</v>
      </c>
    </row>
    <row r="14" spans="10:19" ht="12.75">
      <c r="J14" s="144" t="s">
        <v>163</v>
      </c>
      <c r="K14" s="145" t="s">
        <v>164</v>
      </c>
      <c r="L14" s="144" t="s">
        <v>166</v>
      </c>
      <c r="M14" s="144" t="s">
        <v>167</v>
      </c>
      <c r="N14" s="144" t="s">
        <v>168</v>
      </c>
      <c r="O14" s="144" t="s">
        <v>178</v>
      </c>
      <c r="P14" s="144" t="s">
        <v>179</v>
      </c>
      <c r="Q14" s="144" t="s">
        <v>184</v>
      </c>
      <c r="R14" s="144" t="s">
        <v>181</v>
      </c>
      <c r="S14" s="144" t="s">
        <v>182</v>
      </c>
    </row>
    <row r="15" spans="10:19" ht="12.75">
      <c r="J15" s="144">
        <v>0.1</v>
      </c>
      <c r="K15" s="146" t="str">
        <f aca="true" t="shared" si="0" ref="K15:K46">COMPLEX(0,2*PI()*J15)</f>
        <v>0.628318530717959i</v>
      </c>
      <c r="L15" s="144" t="str">
        <f aca="true" t="shared" si="1" ref="L15:L46">IMDIV(F2_Num,IMSUM(1,IMDIV(K15,F2_Dem)))</f>
        <v>63.1075539344999-3.60372028279542i</v>
      </c>
      <c r="M15" s="144" t="str">
        <f>IMPRODUCT(-1,IMPRODUCT(IMDIV(Fv_Co,K15),IMDIV(IMSUM(1,IMDIV(K15,Fv_fcz)),IMSUM(1,IMDIV(K15,Fv_fcp)))))</f>
        <v>-0.0393106368424258+2.44994583636895i</v>
      </c>
      <c r="N15" s="144" t="str">
        <f aca="true" t="shared" si="2" ref="N15:N46">IMPRODUCT(L15,M15)</f>
        <v>6.34812136754005+154.751753544576i</v>
      </c>
      <c r="O15" s="144">
        <f aca="true" t="shared" si="3" ref="O15:O46">20*LOG10(IMABS(N15))</f>
        <v>43.80001352031833</v>
      </c>
      <c r="P15" s="144">
        <f aca="true" t="shared" si="4" ref="P15:P46">(180/PI())*IMARGUMENT(N15)</f>
        <v>87.65096845217582</v>
      </c>
      <c r="Q15" s="144">
        <f>ABS(O15)</f>
        <v>43.80001352031833</v>
      </c>
      <c r="R15" s="144">
        <f aca="true" t="shared" si="5" ref="R15:R46">IF(Q15=Min_GL,J15,0)</f>
        <v>0</v>
      </c>
      <c r="S15" s="144">
        <f aca="true" t="shared" si="6" ref="S15:S46">IF(Q15=Min_GL,P15,0)</f>
        <v>0</v>
      </c>
    </row>
    <row r="16" spans="10:19" ht="12.75">
      <c r="J16" s="144">
        <f>10^(4/100)*J15</f>
        <v>0.10964781961431852</v>
      </c>
      <c r="K16" s="146" t="str">
        <f t="shared" si="0"/>
        <v>0.688937569164964i</v>
      </c>
      <c r="L16" s="144" t="str">
        <f t="shared" si="1"/>
        <v>63.066092816262-3.94880467891985i</v>
      </c>
      <c r="M16" s="144" t="str">
        <f>IMPRODUCT(-1,IMPRODUCT(IMDIV(Fv_Co,K16),IMDIV(IMSUM(1,IMDIV(K16,Fv_fcz)),IMSUM(1,IMDIV(K16,Fv_fcp)))))</f>
        <v>-0.0393106335670144+2.23438181283109i</v>
      </c>
      <c r="N16" s="144" t="str">
        <f t="shared" si="2"/>
        <v>6.34396929179743+141.068960808734i</v>
      </c>
      <c r="O16" s="144">
        <f t="shared" si="3"/>
        <v>42.99740348572363</v>
      </c>
      <c r="P16" s="144">
        <f t="shared" si="4"/>
        <v>87.42510379858982</v>
      </c>
      <c r="Q16" s="144">
        <f aca="true" t="shared" si="7" ref="Q16:Q79">ABS(O16)</f>
        <v>42.99740348572363</v>
      </c>
      <c r="R16" s="144">
        <f t="shared" si="5"/>
        <v>0</v>
      </c>
      <c r="S16" s="144">
        <f t="shared" si="6"/>
        <v>0</v>
      </c>
    </row>
    <row r="17" spans="10:19" ht="12.75">
      <c r="J17" s="144">
        <f aca="true" t="shared" si="8" ref="J17:J64">10^(4/100)*J16</f>
        <v>0.12022644346174131</v>
      </c>
      <c r="K17" s="146" t="str">
        <f t="shared" si="0"/>
        <v>0.75540502309327i</v>
      </c>
      <c r="L17" s="144" t="str">
        <f t="shared" si="1"/>
        <v>63.0163176538574-4.32636093672384i</v>
      </c>
      <c r="M17" s="144" t="str">
        <f>IMPRODUCT(-1,IMPRODUCT(IMDIV(Fv_Co,K17),IMDIV(IMSUM(1,IMDIV(K17,Fv_fcz)),IMSUM(1,IMDIV(K17,Fv_fcp)))))</f>
        <v>-0.0393106296291044+2.03778553581996i</v>
      </c>
      <c r="N17" s="144" t="str">
        <f t="shared" si="2"/>
        <v>6.33898461571155+128.583812608092i</v>
      </c>
      <c r="O17" s="144">
        <f t="shared" si="3"/>
        <v>42.19426799717513</v>
      </c>
      <c r="P17" s="144">
        <f t="shared" si="4"/>
        <v>87.17769091460269</v>
      </c>
      <c r="Q17" s="144">
        <f t="shared" si="7"/>
        <v>42.19426799717513</v>
      </c>
      <c r="R17" s="144">
        <f t="shared" si="5"/>
        <v>0</v>
      </c>
      <c r="S17" s="144">
        <f t="shared" si="6"/>
        <v>0</v>
      </c>
    </row>
    <row r="18" spans="10:19" ht="12.75">
      <c r="J18" s="144">
        <f t="shared" si="8"/>
        <v>0.13182567385564076</v>
      </c>
      <c r="K18" s="146" t="str">
        <f t="shared" si="0"/>
        <v>0.82828513707881i</v>
      </c>
      <c r="L18" s="144" t="str">
        <f t="shared" si="1"/>
        <v>62.9565786634684-4.73926338690944i</v>
      </c>
      <c r="M18" s="144" t="str">
        <f>IMPRODUCT(-1,IMPRODUCT(IMDIV(Fv_Co,K18),IMDIV(IMSUM(1,IMDIV(K18,Fv_fcz)),IMSUM(1,IMDIV(K18,Fv_fcp)))))</f>
        <v>-0.039310624894696+1.85848809256067i</v>
      </c>
      <c r="N18" s="144" t="str">
        <f t="shared" si="2"/>
        <v>6.33300212358692+117.190355199695i</v>
      </c>
      <c r="O18" s="144">
        <f t="shared" si="3"/>
        <v>41.390501865521436</v>
      </c>
      <c r="P18" s="144">
        <f t="shared" si="4"/>
        <v>86.90672761146867</v>
      </c>
      <c r="Q18" s="144">
        <f t="shared" si="7"/>
        <v>41.390501865521436</v>
      </c>
      <c r="R18" s="144">
        <f t="shared" si="5"/>
        <v>0</v>
      </c>
      <c r="S18" s="144">
        <f t="shared" si="6"/>
        <v>0</v>
      </c>
    </row>
    <row r="19" spans="10:19" ht="12.75">
      <c r="J19" s="144">
        <f t="shared" si="8"/>
        <v>0.14454397707459282</v>
      </c>
      <c r="K19" s="146" t="str">
        <f t="shared" si="0"/>
        <v>0.908196592996385i</v>
      </c>
      <c r="L19" s="144" t="str">
        <f t="shared" si="1"/>
        <v>62.8849063743336-5.19058306709698i</v>
      </c>
      <c r="M19" s="144" t="str">
        <f>IMPRODUCT(-1,IMPRODUCT(IMDIV(Fv_Co,K19),IMDIV(IMSUM(1,IMDIV(K19,Fv_fcz)),IMSUM(1,IMDIV(K19,Fv_fcp)))))</f>
        <v>-0.0393106192026871+1.69496742069218i</v>
      </c>
      <c r="N19" s="144" t="str">
        <f t="shared" si="2"/>
        <v>6.32582458504781+106.791912592164i</v>
      </c>
      <c r="O19" s="144">
        <f t="shared" si="3"/>
        <v>40.585979107589836</v>
      </c>
      <c r="P19" s="144">
        <f t="shared" si="4"/>
        <v>86.61004265459687</v>
      </c>
      <c r="Q19" s="144">
        <f t="shared" si="7"/>
        <v>40.585979107589836</v>
      </c>
      <c r="R19" s="144">
        <f t="shared" si="5"/>
        <v>0</v>
      </c>
      <c r="S19" s="144">
        <f t="shared" si="6"/>
        <v>0</v>
      </c>
    </row>
    <row r="20" spans="10:19" ht="12.75">
      <c r="J20" s="144">
        <f t="shared" si="8"/>
        <v>0.15848931924611143</v>
      </c>
      <c r="K20" s="146" t="str">
        <f t="shared" si="0"/>
        <v>0.995817762032062i</v>
      </c>
      <c r="L20" s="144" t="str">
        <f t="shared" si="1"/>
        <v>62.7989530732433-5.68358200580015i</v>
      </c>
      <c r="M20" s="144" t="str">
        <f>IMPRODUCT(-1,IMPRODUCT(IMDIV(Fv_Co,K20),IMDIV(IMSUM(1,IMDIV(K20,Fv_fcz)),IMSUM(1,IMDIV(K20,Fv_fcp)))))</f>
        <v>-0.0393106123593895+1.5458353874256i</v>
      </c>
      <c r="N20" s="144" t="str">
        <f t="shared" si="2"/>
        <v>6.31721689106348+97.3002690429419i</v>
      </c>
      <c r="O20" s="144">
        <f t="shared" si="3"/>
        <v>39.78054895193142</v>
      </c>
      <c r="P20" s="144">
        <f t="shared" si="4"/>
        <v>86.28528695589304</v>
      </c>
      <c r="Q20" s="144">
        <f t="shared" si="7"/>
        <v>39.78054895193142</v>
      </c>
      <c r="R20" s="144">
        <f t="shared" si="5"/>
        <v>0</v>
      </c>
      <c r="S20" s="144">
        <f t="shared" si="6"/>
        <v>0</v>
      </c>
    </row>
    <row r="21" spans="10:19" ht="12.75">
      <c r="J21" s="144">
        <f t="shared" si="8"/>
        <v>0.17378008287493765</v>
      </c>
      <c r="K21" s="146" t="str">
        <f t="shared" si="0"/>
        <v>1.09189246340026i</v>
      </c>
      <c r="L21" s="144" t="str">
        <f t="shared" si="1"/>
        <v>62.6959250288395-6.22169964311845i</v>
      </c>
      <c r="M21" s="144" t="str">
        <f>IMPRODUCT(-1,IMPRODUCT(IMDIV(Fv_Co,K21),IMDIV(IMSUM(1,IMDIV(K21,Fv_fcz)),IMSUM(1,IMDIV(K21,Fv_fcp)))))</f>
        <v>-0.0393106041319388+1.40982600563581i</v>
      </c>
      <c r="N21" s="144" t="str">
        <f t="shared" si="2"/>
        <v>6.30689926662901+88.6349243247494i</v>
      </c>
      <c r="O21" s="144">
        <f t="shared" si="3"/>
        <v>38.97403112871376</v>
      </c>
      <c r="P21" s="144">
        <f t="shared" si="4"/>
        <v>85.92992620300126</v>
      </c>
      <c r="Q21" s="144">
        <f t="shared" si="7"/>
        <v>38.97403112871376</v>
      </c>
      <c r="R21" s="144">
        <f t="shared" si="5"/>
        <v>0</v>
      </c>
      <c r="S21" s="144">
        <f t="shared" si="6"/>
        <v>0</v>
      </c>
    </row>
    <row r="22" spans="10:19" ht="12.75">
      <c r="J22" s="144">
        <f t="shared" si="8"/>
        <v>0.19054607179632485</v>
      </c>
      <c r="K22" s="146" t="str">
        <f t="shared" si="0"/>
        <v>1.19723627865145i</v>
      </c>
      <c r="L22" s="144" t="str">
        <f t="shared" si="1"/>
        <v>62.5725047302846-6.80852861059972i</v>
      </c>
      <c r="M22" s="144" t="str">
        <f>IMPRODUCT(-1,IMPRODUCT(IMDIV(Fv_Co,K22),IMDIV(IMSUM(1,IMDIV(K22,Fv_fcz)),IMSUM(1,IMDIV(K22,Fv_fcp)))))</f>
        <v>-0.0393105942403726+1.28578468685167i</v>
      </c>
      <c r="N22" s="144" t="str">
        <f t="shared" si="2"/>
        <v>6.29453948344458+80.7224157057389i</v>
      </c>
      <c r="O22" s="144">
        <f t="shared" si="3"/>
        <v>38.16621033835096</v>
      </c>
      <c r="P22" s="144">
        <f t="shared" si="4"/>
        <v>85.54123573443808</v>
      </c>
      <c r="Q22" s="144">
        <f t="shared" si="7"/>
        <v>38.16621033835096</v>
      </c>
      <c r="R22" s="144">
        <f t="shared" si="5"/>
        <v>0</v>
      </c>
      <c r="S22" s="144">
        <f t="shared" si="6"/>
        <v>0</v>
      </c>
    </row>
    <row r="23" spans="10:19" ht="12.75">
      <c r="J23" s="144">
        <f t="shared" si="8"/>
        <v>0.20892961308540411</v>
      </c>
      <c r="K23" s="146" t="str">
        <f t="shared" si="0"/>
        <v>1.31274347517293i</v>
      </c>
      <c r="L23" s="144" t="str">
        <f t="shared" si="1"/>
        <v>62.4247626608091-7.4477763519626i</v>
      </c>
      <c r="M23" s="144" t="str">
        <f>IMPRODUCT(-1,IMPRODUCT(IMDIV(Fv_Co,K23),IMDIV(IMSUM(1,IMDIV(K23,Fv_fcz)),IMSUM(1,IMDIV(K23,Fv_fcp)))))</f>
        <v>-0.0393105823481006+1.17265843991349i</v>
      </c>
      <c r="N23" s="144" t="str">
        <f t="shared" si="2"/>
        <v>6.27974402457867+73.4957012193883i</v>
      </c>
      <c r="O23" s="144">
        <f t="shared" si="3"/>
        <v>37.35682978853583</v>
      </c>
      <c r="P23" s="144">
        <f t="shared" si="4"/>
        <v>85.11629872883302</v>
      </c>
      <c r="Q23" s="144">
        <f t="shared" si="7"/>
        <v>37.35682978853583</v>
      </c>
      <c r="R23" s="144">
        <f t="shared" si="5"/>
        <v>0</v>
      </c>
      <c r="S23" s="144">
        <f t="shared" si="6"/>
        <v>0</v>
      </c>
    </row>
    <row r="24" spans="10:19" ht="12.75">
      <c r="J24" s="144">
        <f t="shared" si="8"/>
        <v>0.22908676527677752</v>
      </c>
      <c r="K24" s="146" t="str">
        <f t="shared" si="0"/>
        <v>1.43939459765635i</v>
      </c>
      <c r="L24" s="144" t="str">
        <f t="shared" si="1"/>
        <v>62.2480586327376-8.143208193874i</v>
      </c>
      <c r="M24" s="144" t="str">
        <f>IMPRODUCT(-1,IMPRODUCT(IMDIV(Fv_Co,K24),IMDIV(IMSUM(1,IMDIV(K24,Fv_fcz)),IMSUM(1,IMDIV(K24,Fv_fcp)))))</f>
        <v>-0.0393105680504546+1.06948693209359i</v>
      </c>
      <c r="N24" s="144" t="str">
        <f t="shared" si="2"/>
        <v>6.26204820377477+66.8935993957627i</v>
      </c>
      <c r="O24" s="144">
        <f t="shared" si="3"/>
        <v>36.54558368989266</v>
      </c>
      <c r="P24" s="144">
        <f t="shared" si="4"/>
        <v>84.65200910077849</v>
      </c>
      <c r="Q24" s="144">
        <f t="shared" si="7"/>
        <v>36.54558368989266</v>
      </c>
      <c r="R24" s="144">
        <f t="shared" si="5"/>
        <v>0</v>
      </c>
      <c r="S24" s="144">
        <f t="shared" si="6"/>
        <v>0</v>
      </c>
    </row>
    <row r="25" spans="10:19" ht="12.75">
      <c r="J25" s="144">
        <f t="shared" si="8"/>
        <v>0.25118864315095824</v>
      </c>
      <c r="K25" s="146" t="str">
        <f t="shared" si="0"/>
        <v>1.57826479197648i</v>
      </c>
      <c r="L25" s="144" t="str">
        <f t="shared" si="1"/>
        <v>62.0369335307419-8.89856648492977i</v>
      </c>
      <c r="M25" s="144" t="str">
        <f>IMPRODUCT(-1,IMPRODUCT(IMDIV(Fv_Co,K25),IMDIV(IMSUM(1,IMDIV(K25,Fv_fcz)),IMSUM(1,IMDIV(K25,Fv_fcp)))))</f>
        <v>-0.0393105508609169+0.975394336797491i</v>
      </c>
      <c r="N25" s="144" t="str">
        <f t="shared" si="2"/>
        <v>6.2409053242009+60.8602811885631i</v>
      </c>
      <c r="O25" s="144">
        <f t="shared" si="3"/>
        <v>35.73210860995072</v>
      </c>
      <c r="P25" s="144">
        <f t="shared" si="4"/>
        <v>84.14508089490883</v>
      </c>
      <c r="Q25" s="144">
        <f t="shared" si="7"/>
        <v>35.73210860995072</v>
      </c>
      <c r="R25" s="144">
        <f t="shared" si="5"/>
        <v>0</v>
      </c>
      <c r="S25" s="144">
        <f t="shared" si="6"/>
        <v>0</v>
      </c>
    </row>
    <row r="26" spans="10:19" ht="12.75">
      <c r="J26" s="144">
        <f t="shared" si="8"/>
        <v>0.2754228703338169</v>
      </c>
      <c r="K26" s="146" t="str">
        <f t="shared" si="0"/>
        <v>1.73053293214267i</v>
      </c>
      <c r="L26" s="144" t="str">
        <f t="shared" si="1"/>
        <v>61.7849935645245-9.71745935406398i</v>
      </c>
      <c r="M26" s="144" t="str">
        <f>IMPRODUCT(-1,IMPRODUCT(IMDIV(Fv_Co,K26),IMDIV(IMSUM(1,IMDIV(K26,Fv_fcz)),IMSUM(1,IMDIV(K26,Fv_fcp)))))</f>
        <v>-0.0393105301945671+0.889581898640838i</v>
      </c>
      <c r="N26" s="144" t="str">
        <f t="shared" si="2"/>
        <v>6.21567508706403+55.3448103619941i</v>
      </c>
      <c r="O26" s="144">
        <f t="shared" si="3"/>
        <v>34.915973608341716</v>
      </c>
      <c r="P26" s="144">
        <f t="shared" si="4"/>
        <v>83.59206645108078</v>
      </c>
      <c r="Q26" s="144">
        <f t="shared" si="7"/>
        <v>34.915973608341716</v>
      </c>
      <c r="R26" s="144">
        <f t="shared" si="5"/>
        <v>0</v>
      </c>
      <c r="S26" s="144">
        <f t="shared" si="6"/>
        <v>0</v>
      </c>
    </row>
    <row r="27" spans="10:19" ht="12.75">
      <c r="J27" s="144">
        <f t="shared" si="8"/>
        <v>0.30199517204020193</v>
      </c>
      <c r="K27" s="146" t="str">
        <f t="shared" si="0"/>
        <v>1.89749162780217i</v>
      </c>
      <c r="L27" s="144" t="str">
        <f t="shared" si="1"/>
        <v>61.4847909674331-10.6032115875639i</v>
      </c>
      <c r="M27" s="144" t="str">
        <f>IMPRODUCT(-1,IMPRODUCT(IMDIV(Fv_Co,K27),IMDIV(IMSUM(1,IMDIV(K27,Fv_fcz)),IMSUM(1,IMDIV(K27,Fv_fcp)))))</f>
        <v>-0.0393105053481785+0.81132115278625i</v>
      </c>
      <c r="N27" s="144" t="str">
        <f t="shared" si="2"/>
        <v>6.18561164430195+50.3007290923402i</v>
      </c>
      <c r="O27" s="144">
        <f t="shared" si="3"/>
        <v>34.09666911951936</v>
      </c>
      <c r="P27" s="144">
        <f t="shared" si="4"/>
        <v>82.98938617846616</v>
      </c>
      <c r="Q27" s="144">
        <f t="shared" si="7"/>
        <v>34.09666911951936</v>
      </c>
      <c r="R27" s="144">
        <f t="shared" si="5"/>
        <v>0</v>
      </c>
      <c r="S27" s="144">
        <f t="shared" si="6"/>
        <v>0</v>
      </c>
    </row>
    <row r="28" spans="10:19" ht="12.75">
      <c r="J28" s="144">
        <f t="shared" si="8"/>
        <v>0.33113112148259144</v>
      </c>
      <c r="K28" s="146" t="str">
        <f t="shared" si="0"/>
        <v>2.08055819724932i</v>
      </c>
      <c r="L28" s="144" t="str">
        <f t="shared" si="1"/>
        <v>61.1277076597844-11.5586692510673i</v>
      </c>
      <c r="M28" s="144" t="str">
        <f>IMPRODUCT(-1,IMPRODUCT(IMDIV(Fv_Co,K28),IMDIV(IMSUM(1,IMDIV(K28,Fv_fcz)),IMSUM(1,IMDIV(K28,Fv_fcp)))))</f>
        <v>-0.0393104754762908+0.739947740979269i</v>
      </c>
      <c r="N28" s="144" t="str">
        <f t="shared" si="2"/>
        <v>6.14985194817196+45.6856859782313i</v>
      </c>
      <c r="O28" s="144">
        <f t="shared" si="3"/>
        <v>33.27359462137802</v>
      </c>
      <c r="P28" s="144">
        <f t="shared" si="4"/>
        <v>82.33337341570515</v>
      </c>
      <c r="Q28" s="144">
        <f t="shared" si="7"/>
        <v>33.27359462137802</v>
      </c>
      <c r="R28" s="144">
        <f t="shared" si="5"/>
        <v>0</v>
      </c>
      <c r="S28" s="144">
        <f t="shared" si="6"/>
        <v>0</v>
      </c>
    </row>
    <row r="29" spans="10:19" ht="12.75">
      <c r="J29" s="144">
        <f t="shared" si="8"/>
        <v>0.36307805477010174</v>
      </c>
      <c r="K29" s="146" t="str">
        <f t="shared" si="0"/>
        <v>2.28128669909085i</v>
      </c>
      <c r="L29" s="144" t="str">
        <f t="shared" si="1"/>
        <v>60.7038518916894-12.5859492601706i</v>
      </c>
      <c r="M29" s="144" t="str">
        <f>IMPRODUCT(-1,IMPRODUCT(IMDIV(Fv_Co,K29),IMDIV(IMSUM(1,IMDIV(K29,Fv_fcz)),IMSUM(1,IMDIV(K29,Fv_fcp)))))</f>
        <v>-0.0393104395624427+0.674855771787145i</v>
      </c>
      <c r="N29" s="144" t="str">
        <f t="shared" si="2"/>
        <v>6.10740540065055+41.4611040165465i</v>
      </c>
      <c r="O29" s="144">
        <f t="shared" si="3"/>
        <v>32.4460452394635</v>
      </c>
      <c r="P29" s="144">
        <f t="shared" si="4"/>
        <v>81.62033854031554</v>
      </c>
      <c r="Q29" s="144">
        <f t="shared" si="7"/>
        <v>32.4460452394635</v>
      </c>
      <c r="R29" s="144">
        <f t="shared" si="5"/>
        <v>0</v>
      </c>
      <c r="S29" s="144">
        <f t="shared" si="6"/>
        <v>0</v>
      </c>
    </row>
    <row r="30" spans="10:19" ht="12.75">
      <c r="J30" s="144">
        <f t="shared" si="8"/>
        <v>0.3981071705534977</v>
      </c>
      <c r="K30" s="146" t="str">
        <f t="shared" si="0"/>
        <v>2.50138112470457i</v>
      </c>
      <c r="L30" s="144" t="str">
        <f t="shared" si="1"/>
        <v>60.2019824178511-13.6861255454353i</v>
      </c>
      <c r="M30" s="144" t="str">
        <f>IMPRODUCT(-1,IMPRODUCT(IMDIV(Fv_Co,K30),IMDIV(IMSUM(1,IMDIV(K30,Fv_fcz)),IMSUM(1,IMDIV(K30,Fv_fcp)))))</f>
        <v>-0.0393103963845872+0.61549267716449i</v>
      </c>
      <c r="N30" s="144" t="str">
        <f t="shared" si="2"/>
        <v>6.05714625998561+37.591886349133i</v>
      </c>
      <c r="O30" s="144">
        <f t="shared" si="3"/>
        <v>31.61319759951929</v>
      </c>
      <c r="P30" s="144">
        <f t="shared" si="4"/>
        <v>80.84665716663076</v>
      </c>
      <c r="Q30" s="144">
        <f t="shared" si="7"/>
        <v>31.61319759951929</v>
      </c>
      <c r="R30" s="144">
        <f t="shared" si="5"/>
        <v>0</v>
      </c>
      <c r="S30" s="144">
        <f t="shared" si="6"/>
        <v>0</v>
      </c>
    </row>
    <row r="31" spans="10:19" ht="12.75">
      <c r="J31" s="144">
        <f t="shared" si="8"/>
        <v>0.4365158322401665</v>
      </c>
      <c r="K31" s="146" t="str">
        <f t="shared" si="0"/>
        <v>2.74270986348268i</v>
      </c>
      <c r="L31" s="144" t="str">
        <f t="shared" si="1"/>
        <v>59.6094803548152-14.8588453584994i</v>
      </c>
      <c r="M31" s="144" t="str">
        <f>IMPRODUCT(-1,IMPRODUCT(IMDIV(Fv_Co,K31),IMDIV(IMSUM(1,IMDIV(K31,Fv_fcz)),IMSUM(1,IMDIV(K31,Fv_fcp)))))</f>
        <v>-0.0393103444735128+0.561354521682896i</v>
      </c>
      <c r="N31" s="144" t="str">
        <f t="shared" si="2"/>
        <v>5.99781082234567+34.0461576618645i</v>
      </c>
      <c r="O31" s="144">
        <f t="shared" si="3"/>
        <v>30.77409546930514</v>
      </c>
      <c r="P31" s="144">
        <f t="shared" si="4"/>
        <v>80.00888783835492</v>
      </c>
      <c r="Q31" s="144">
        <f t="shared" si="7"/>
        <v>30.77409546930514</v>
      </c>
      <c r="R31" s="144">
        <f t="shared" si="5"/>
        <v>0</v>
      </c>
      <c r="S31" s="144">
        <f t="shared" si="6"/>
        <v>0</v>
      </c>
    </row>
    <row r="32" spans="10:19" ht="12.75">
      <c r="J32" s="144">
        <f t="shared" si="8"/>
        <v>0.478630092322639</v>
      </c>
      <c r="K32" s="146" t="str">
        <f t="shared" si="0"/>
        <v>3.00732156365561i</v>
      </c>
      <c r="L32" s="144" t="str">
        <f t="shared" si="1"/>
        <v>58.9123953262381-16.1018734146973i</v>
      </c>
      <c r="M32" s="144" t="str">
        <f>IMPRODUCT(-1,IMPRODUCT(IMDIV(Fv_Co,K32),IMDIV(IMSUM(1,IMDIV(K32,Fv_fcz)),IMSUM(1,IMDIV(K32,Fv_fcp)))))</f>
        <v>-0.0393102820628557+0.511981724604366i</v>
      </c>
      <c r="N32" s="144" t="str">
        <f t="shared" si="2"/>
        <v>5.92800204294504+30.7950389453737i</v>
      </c>
      <c r="O32" s="144">
        <f t="shared" si="3"/>
        <v>29.927636036287517</v>
      </c>
      <c r="P32" s="144">
        <f t="shared" si="4"/>
        <v>79.10392492146377</v>
      </c>
      <c r="Q32" s="144">
        <f t="shared" si="7"/>
        <v>29.927636036287517</v>
      </c>
      <c r="R32" s="144">
        <f t="shared" si="5"/>
        <v>0</v>
      </c>
      <c r="S32" s="144">
        <f t="shared" si="6"/>
        <v>0</v>
      </c>
    </row>
    <row r="33" spans="10:19" ht="12.75">
      <c r="J33" s="144">
        <f t="shared" si="8"/>
        <v>0.5248074602497733</v>
      </c>
      <c r="K33" s="146" t="str">
        <f t="shared" si="0"/>
        <v>3.29746252333961i</v>
      </c>
      <c r="L33" s="144" t="str">
        <f t="shared" si="1"/>
        <v>58.0955992268283-17.4105689162892i</v>
      </c>
      <c r="M33" s="144" t="str">
        <f>IMPRODUCT(-1,IMPRODUCT(IMDIV(Fv_Co,K33),IMDIV(IMSUM(1,IMDIV(K33,Fv_fcz)),IMSUM(1,IMDIV(K33,Fv_fcp)))))</f>
        <v>-0.0393102070290049+0.466955158483002i</v>
      </c>
      <c r="N33" s="144" t="str">
        <f t="shared" si="2"/>
        <v>5.84620493450433+27.8124528127207i</v>
      </c>
      <c r="O33" s="144">
        <f t="shared" si="3"/>
        <v>29.072558058286738</v>
      </c>
      <c r="P33" s="144">
        <f t="shared" si="4"/>
        <v>78.12919220353535</v>
      </c>
      <c r="Q33" s="144">
        <f t="shared" si="7"/>
        <v>29.072558058286738</v>
      </c>
      <c r="R33" s="144">
        <f t="shared" si="5"/>
        <v>0</v>
      </c>
      <c r="S33" s="144">
        <f t="shared" si="6"/>
        <v>0</v>
      </c>
    </row>
    <row r="34" spans="10:19" ht="12.75">
      <c r="J34" s="144">
        <f t="shared" si="8"/>
        <v>0.5754399373371578</v>
      </c>
      <c r="K34" s="146" t="str">
        <f t="shared" si="0"/>
        <v>3.61559575944117i</v>
      </c>
      <c r="L34" s="144" t="str">
        <f t="shared" si="1"/>
        <v>57.1430867560281-18.7773120388644i</v>
      </c>
      <c r="M34" s="144" t="str">
        <f>IMPRODUCT(-1,IMPRODUCT(IMDIV(Fv_Co,K34),IMDIV(IMSUM(1,IMDIV(K34,Fv_fcz)),IMSUM(1,IMDIV(K34,Fv_fcp)))))</f>
        <v>-0.0393101168188537+0.425892591175817i</v>
      </c>
      <c r="N34" s="144" t="str">
        <f t="shared" si="2"/>
        <v>5.75081666377947+25.0749556161011i</v>
      </c>
      <c r="O34" s="144">
        <f t="shared" si="3"/>
        <v>28.20743359570933</v>
      </c>
      <c r="P34" s="144">
        <f t="shared" si="4"/>
        <v>77.08288169106152</v>
      </c>
      <c r="Q34" s="144">
        <f t="shared" si="7"/>
        <v>28.20743359570933</v>
      </c>
      <c r="R34" s="144">
        <f t="shared" si="5"/>
        <v>0</v>
      </c>
      <c r="S34" s="144">
        <f t="shared" si="6"/>
        <v>0</v>
      </c>
    </row>
    <row r="35" spans="10:19" ht="12.75">
      <c r="J35" s="144">
        <f t="shared" si="8"/>
        <v>0.6309573444801942</v>
      </c>
      <c r="K35" s="146" t="str">
        <f t="shared" si="0"/>
        <v>3.96442191629501i</v>
      </c>
      <c r="L35" s="144" t="str">
        <f t="shared" si="1"/>
        <v>56.0384648183329-20.1909129405195i</v>
      </c>
      <c r="M35" s="144" t="str">
        <f>IMPRODUCT(-1,IMPRODUCT(IMDIV(Fv_Co,K35),IMDIV(IMSUM(1,IMDIV(K35,Fv_fcz)),IMSUM(1,IMDIV(K35,Fv_fcp)))))</f>
        <v>-0.0393100083629453+0.38844544105857i</v>
      </c>
      <c r="N35" s="144" t="str">
        <f t="shared" si="2"/>
        <v>5.6401955619+22.5615911391498i</v>
      </c>
      <c r="O35" s="144">
        <f t="shared" si="3"/>
        <v>27.330665562804136</v>
      </c>
      <c r="P35" s="144">
        <f t="shared" si="4"/>
        <v>75.96423987480506</v>
      </c>
      <c r="Q35" s="144">
        <f t="shared" si="7"/>
        <v>27.330665562804136</v>
      </c>
      <c r="R35" s="144">
        <f t="shared" si="5"/>
        <v>0</v>
      </c>
      <c r="S35" s="144">
        <f t="shared" si="6"/>
        <v>0</v>
      </c>
    </row>
    <row r="36" spans="10:19" ht="12.75">
      <c r="J36" s="144">
        <f t="shared" si="8"/>
        <v>0.6918309709189376</v>
      </c>
      <c r="K36" s="146" t="str">
        <f t="shared" si="0"/>
        <v>4.34690219152966i</v>
      </c>
      <c r="L36" s="144" t="str">
        <f t="shared" si="1"/>
        <v>54.7656700738928-21.6360577879236i</v>
      </c>
      <c r="M36" s="144" t="str">
        <f>IMPRODUCT(-1,IMPRODUCT(IMDIV(Fv_Co,K36),IMDIV(IMSUM(1,IMDIV(K36,Fv_fcz)),IMSUM(1,IMDIV(K36,Fv_fcp)))))</f>
        <v>-0.0393098779710565+0.354295817901508i</v>
      </c>
      <c r="N36" s="144" t="str">
        <f t="shared" si="2"/>
        <v>5.51273298252882+20.253758663172i</v>
      </c>
      <c r="O36" s="144">
        <f t="shared" si="3"/>
        <v>26.44049386655812</v>
      </c>
      <c r="P36" s="144">
        <f t="shared" si="4"/>
        <v>74.77389987532486</v>
      </c>
      <c r="Q36" s="144">
        <f t="shared" si="7"/>
        <v>26.44049386655812</v>
      </c>
      <c r="R36" s="144">
        <f t="shared" si="5"/>
        <v>0</v>
      </c>
      <c r="S36" s="144">
        <f t="shared" si="6"/>
        <v>0</v>
      </c>
    </row>
    <row r="37" spans="10:19" ht="12.75">
      <c r="J37" s="144">
        <f t="shared" si="8"/>
        <v>0.7585775750291851</v>
      </c>
      <c r="K37" s="146" t="str">
        <f t="shared" si="0"/>
        <v>4.7662834737793i</v>
      </c>
      <c r="L37" s="144" t="str">
        <f t="shared" si="1"/>
        <v>53.3099416845691-23.0928712600902i</v>
      </c>
      <c r="M37" s="144" t="str">
        <f>IMPRODUCT(-1,IMPRODUCT(IMDIV(Fv_Co,K37),IMDIV(IMSUM(1,IMDIV(K37,Fv_fcz)),IMSUM(1,IMDIV(K37,Fv_fcp)))))</f>
        <v>-0.0393097212066708+0.323153824284589i</v>
      </c>
      <c r="N37" s="144" t="str">
        <f t="shared" si="2"/>
        <v>5.36695071624553+18.1350858588526i</v>
      </c>
      <c r="O37" s="144">
        <f t="shared" si="3"/>
        <v>25.535013338052988</v>
      </c>
      <c r="P37" s="144">
        <f t="shared" si="4"/>
        <v>73.51425200891597</v>
      </c>
      <c r="Q37" s="144">
        <f t="shared" si="7"/>
        <v>25.535013338052988</v>
      </c>
      <c r="R37" s="144">
        <f t="shared" si="5"/>
        <v>0</v>
      </c>
      <c r="S37" s="144">
        <f t="shared" si="6"/>
        <v>0</v>
      </c>
    </row>
    <row r="38" spans="10:19" ht="12.75">
      <c r="J38" s="144">
        <f t="shared" si="8"/>
        <v>0.8317637711026725</v>
      </c>
      <c r="K38" s="146" t="str">
        <f t="shared" si="0"/>
        <v>5.2261259056366i</v>
      </c>
      <c r="L38" s="144" t="str">
        <f t="shared" si="1"/>
        <v>51.6590508061634-24.5366997777222i</v>
      </c>
      <c r="M38" s="144" t="str">
        <f>IMPRODUCT(-1,IMPRODUCT(IMDIV(Fv_Co,K38),IMDIV(IMSUM(1,IMDIV(K38,Fv_fcz)),IMSUM(1,IMDIV(K38,Fv_fcp)))))</f>
        <v>-0.0393095327360807+0.294755094643632i</v>
      </c>
      <c r="N38" s="144" t="str">
        <f t="shared" si="2"/>
        <v>5.20162411644515+16.1912946127186i</v>
      </c>
      <c r="O38" s="144">
        <f t="shared" si="3"/>
        <v>24.612206855734463</v>
      </c>
      <c r="P38" s="144">
        <f t="shared" si="4"/>
        <v>72.1898372591004</v>
      </c>
      <c r="Q38" s="144">
        <f t="shared" si="7"/>
        <v>24.612206855734463</v>
      </c>
      <c r="R38" s="144">
        <f t="shared" si="5"/>
        <v>0</v>
      </c>
      <c r="S38" s="144">
        <f t="shared" si="6"/>
        <v>0</v>
      </c>
    </row>
    <row r="39" spans="10:19" ht="12.75">
      <c r="J39" s="144">
        <f t="shared" si="8"/>
        <v>0.9120108393559114</v>
      </c>
      <c r="K39" s="146" t="str">
        <f t="shared" si="0"/>
        <v>5.73033310582958i</v>
      </c>
      <c r="L39" s="144" t="str">
        <f t="shared" si="1"/>
        <v>49.8047469627815-25.9382376463697i</v>
      </c>
      <c r="M39" s="144" t="str">
        <f>IMPRODUCT(-1,IMPRODUCT(IMDIV(Fv_Co,K39),IMDIV(IMSUM(1,IMDIV(K39,Fv_fcz)),IMSUM(1,IMDIV(K39,Fv_fcp)))))</f>
        <v>-0.0393093061469862+0.268858551055915i</v>
      </c>
      <c r="N39" s="144" t="str">
        <f t="shared" si="2"/>
        <v>5.01592694461378+14.4100462286743i</v>
      </c>
      <c r="O39" s="144">
        <f t="shared" si="3"/>
        <v>23.6699968223812</v>
      </c>
      <c r="P39" s="144">
        <f t="shared" si="4"/>
        <v>70.80773816213892</v>
      </c>
      <c r="Q39" s="144">
        <f t="shared" si="7"/>
        <v>23.6699968223812</v>
      </c>
      <c r="R39" s="144">
        <f t="shared" si="5"/>
        <v>0</v>
      </c>
      <c r="S39" s="144">
        <f t="shared" si="6"/>
        <v>0</v>
      </c>
    </row>
    <row r="40" spans="10:19" ht="12.75">
      <c r="J40" s="144">
        <f t="shared" si="8"/>
        <v>1.000000000000002</v>
      </c>
      <c r="K40" s="146" t="str">
        <f t="shared" si="0"/>
        <v>6.2831853071796i</v>
      </c>
      <c r="L40" s="144" t="str">
        <f t="shared" si="1"/>
        <v>47.7443247108147-27.2641198432938i</v>
      </c>
      <c r="M40" s="144" t="str">
        <f>IMPRODUCT(-1,IMPRODUCT(IMDIV(Fv_Co,K40),IMDIV(IMSUM(1,IMDIV(K40,Fv_fcz)),IMSUM(1,IMDIV(K40,Fv_fcp)))))</f>
        <v>-0.0393090337304342+0.245244356713546i</v>
      </c>
      <c r="N40" s="144" t="str">
        <f t="shared" si="2"/>
        <v>4.80958826183539+12.780752406977i</v>
      </c>
      <c r="O40" s="144">
        <f t="shared" si="3"/>
        <v>22.70631727977061</v>
      </c>
      <c r="P40" s="144">
        <f t="shared" si="4"/>
        <v>69.37793066321022</v>
      </c>
      <c r="Q40" s="144">
        <f t="shared" si="7"/>
        <v>22.70631727977061</v>
      </c>
      <c r="R40" s="144">
        <f t="shared" si="5"/>
        <v>0</v>
      </c>
      <c r="S40" s="144">
        <f t="shared" si="6"/>
        <v>0</v>
      </c>
    </row>
    <row r="41" spans="10:19" ht="12.75">
      <c r="J41" s="144">
        <f t="shared" si="8"/>
        <v>1.0964781961431873</v>
      </c>
      <c r="K41" s="146" t="str">
        <f t="shared" si="0"/>
        <v>6.88937569164965i</v>
      </c>
      <c r="L41" s="144" t="str">
        <f t="shared" si="1"/>
        <v>45.482148329547-28.4780794418789i</v>
      </c>
      <c r="M41" s="144" t="str">
        <f>IMPRODUCT(-1,IMPRODUCT(IMDIV(Fv_Co,K41),IMDIV(IMSUM(1,IMDIV(K41,Fv_fcz)),IMSUM(1,IMDIV(K41,Fv_fcp)))))</f>
        <v>-0.0393087062187008+0.223712049711009i</v>
      </c>
      <c r="N41" s="144" t="str">
        <f t="shared" si="2"/>
        <v>4.58304511689414+11.2943410865167i</v>
      </c>
      <c r="O41" s="144">
        <f t="shared" si="3"/>
        <v>21.719207258938233</v>
      </c>
      <c r="P41" s="144">
        <f t="shared" si="4"/>
        <v>67.91355039671376</v>
      </c>
      <c r="Q41" s="144">
        <f t="shared" si="7"/>
        <v>21.719207258938233</v>
      </c>
      <c r="R41" s="144">
        <f t="shared" si="5"/>
        <v>0</v>
      </c>
      <c r="S41" s="144">
        <f t="shared" si="6"/>
        <v>0</v>
      </c>
    </row>
    <row r="42" spans="10:19" ht="12.75">
      <c r="J42" s="144">
        <f t="shared" si="8"/>
        <v>1.2022644346174156</v>
      </c>
      <c r="K42" s="146" t="str">
        <f t="shared" si="0"/>
        <v>7.55405023093272i</v>
      </c>
      <c r="L42" s="144" t="str">
        <f t="shared" si="1"/>
        <v>43.0309116015328-29.5427060729076i</v>
      </c>
      <c r="M42" s="144" t="str">
        <f>IMPRODUCT(-1,IMPRODUCT(IMDIV(Fv_Co,K42),IMDIV(IMSUM(1,IMDIV(K42,Fv_fcz)),IMSUM(1,IMDIV(K42,Fv_fcp)))))</f>
        <v>-0.0393083124702168+0.204078841303755i</v>
      </c>
      <c r="N42" s="144" t="str">
        <f t="shared" si="2"/>
        <v>4.33756870522506+9.94297250141475i</v>
      </c>
      <c r="O42" s="144">
        <f t="shared" si="3"/>
        <v>20.70692342654127</v>
      </c>
      <c r="P42" s="144">
        <f t="shared" si="4"/>
        <v>66.43102027192938</v>
      </c>
      <c r="Q42" s="144">
        <f t="shared" si="7"/>
        <v>20.70692342654127</v>
      </c>
      <c r="R42" s="144">
        <f t="shared" si="5"/>
        <v>0</v>
      </c>
      <c r="S42" s="144">
        <f t="shared" si="6"/>
        <v>0</v>
      </c>
    </row>
    <row r="43" spans="10:19" ht="12.75">
      <c r="J43" s="144">
        <f t="shared" si="8"/>
        <v>1.3182567385564101</v>
      </c>
      <c r="K43" s="146" t="str">
        <f t="shared" si="0"/>
        <v>8.28285137078812i</v>
      </c>
      <c r="L43" s="144" t="str">
        <f t="shared" si="1"/>
        <v>40.4123749403257-30.4217435252526i</v>
      </c>
      <c r="M43" s="144" t="str">
        <f>IMPRODUCT(-1,IMPRODUCT(IMDIV(Fv_Co,K43),IMDIV(IMSUM(1,IMDIV(K43,Fv_fcz)),IMSUM(1,IMDIV(K43,Fv_fcp)))))</f>
        <v>-0.0393078390908612+0.186178064190718i</v>
      </c>
      <c r="N43" s="144" t="str">
        <f t="shared" si="2"/>
        <v>4.07533818740416+8.7197107350934i</v>
      </c>
      <c r="O43" s="144">
        <f t="shared" si="3"/>
        <v>19.668066876663133</v>
      </c>
      <c r="P43" s="144">
        <f t="shared" si="4"/>
        <v>64.94998634462108</v>
      </c>
      <c r="Q43" s="144">
        <f t="shared" si="7"/>
        <v>19.668066876663133</v>
      </c>
      <c r="R43" s="144">
        <f t="shared" si="5"/>
        <v>0</v>
      </c>
      <c r="S43" s="144">
        <f t="shared" si="6"/>
        <v>0</v>
      </c>
    </row>
    <row r="44" spans="10:19" ht="12.75">
      <c r="J44" s="144">
        <f t="shared" si="8"/>
        <v>1.445439770745931</v>
      </c>
      <c r="K44" s="146" t="str">
        <f t="shared" si="0"/>
        <v>9.08196592996386i</v>
      </c>
      <c r="L44" s="144" t="str">
        <f t="shared" si="1"/>
        <v>37.6573362139541-31.0827419445609i</v>
      </c>
      <c r="M44" s="144" t="str">
        <f>IMPRODUCT(-1,IMPRODUCT(IMDIV(Fv_Co,K44),IMDIV(IMSUM(1,IMDIV(K44,Fv_fcz)),IMSUM(1,IMDIV(K44,Fv_fcp)))))</f>
        <v>-0.0393072699787911+0.169857757646781i</v>
      </c>
      <c r="N44" s="144" t="str">
        <f t="shared" si="2"/>
        <v>3.79943776697266+7.61816841754911i</v>
      </c>
      <c r="O44" s="144">
        <f t="shared" si="3"/>
        <v>18.601715493350238</v>
      </c>
      <c r="P44" s="144">
        <f t="shared" si="4"/>
        <v>63.493018454957195</v>
      </c>
      <c r="Q44" s="144">
        <f t="shared" si="7"/>
        <v>18.601715493350238</v>
      </c>
      <c r="R44" s="144">
        <f t="shared" si="5"/>
        <v>0</v>
      </c>
      <c r="S44" s="144">
        <f t="shared" si="6"/>
        <v>0</v>
      </c>
    </row>
    <row r="45" spans="10:19" ht="12.75">
      <c r="J45" s="144">
        <f t="shared" si="8"/>
        <v>1.5848931924611174</v>
      </c>
      <c r="K45" s="146" t="str">
        <f t="shared" si="0"/>
        <v>9.95817762032064i</v>
      </c>
      <c r="L45" s="144" t="str">
        <f t="shared" si="1"/>
        <v>34.8046706306988-31.4997607497893i</v>
      </c>
      <c r="M45" s="144" t="str">
        <f>IMPRODUCT(-1,IMPRODUCT(IMDIV(Fv_Co,K45),IMDIV(IMSUM(1,IMDIV(K45,Fv_fcz)),IMSUM(1,IMDIV(K45,Fv_fcp)))))</f>
        <v>-0.0393065857774066+0.154979377492634i</v>
      </c>
      <c r="N45" s="144" t="str">
        <f t="shared" si="2"/>
        <v>3.5137605405693+6.63215423606124i</v>
      </c>
      <c r="O45" s="144">
        <f t="shared" si="3"/>
        <v>17.50755039144846</v>
      </c>
      <c r="P45" s="144">
        <f t="shared" si="4"/>
        <v>62.085052119894755</v>
      </c>
      <c r="Q45" s="144">
        <f t="shared" si="7"/>
        <v>17.50755039144846</v>
      </c>
      <c r="R45" s="144">
        <f t="shared" si="5"/>
        <v>0</v>
      </c>
      <c r="S45" s="144">
        <f t="shared" si="6"/>
        <v>0</v>
      </c>
    </row>
    <row r="46" spans="10:19" ht="12.75">
      <c r="J46" s="144">
        <f t="shared" si="8"/>
        <v>1.7378008287493798</v>
      </c>
      <c r="K46" s="146" t="str">
        <f t="shared" si="0"/>
        <v>10.9189246340026i</v>
      </c>
      <c r="L46" s="144" t="str">
        <f t="shared" si="1"/>
        <v>31.8994172457948-31.6557404332984i</v>
      </c>
      <c r="M46" s="144" t="str">
        <f>IMPRODUCT(-1,IMPRODUCT(IMDIV(Fv_Co,K46),IMDIV(IMSUM(1,IMDIV(K46,Fv_fcz)),IMSUM(1,IMDIV(K46,Fv_fcp)))))</f>
        <v>-0.0393057632179478+0.141416619948577i</v>
      </c>
      <c r="N46" s="144" t="str">
        <f t="shared" si="2"/>
        <v>3.22281687299283+5.75536080318969i</v>
      </c>
      <c r="O46" s="144">
        <f t="shared" si="3"/>
        <v>16.38596335498246</v>
      </c>
      <c r="P46" s="144">
        <f t="shared" si="4"/>
        <v>60.752577056932026</v>
      </c>
      <c r="Q46" s="144">
        <f t="shared" si="7"/>
        <v>16.38596335498246</v>
      </c>
      <c r="R46" s="144">
        <f t="shared" si="5"/>
        <v>0</v>
      </c>
      <c r="S46" s="144">
        <f t="shared" si="6"/>
        <v>0</v>
      </c>
    </row>
    <row r="47" spans="10:19" ht="12.75">
      <c r="J47" s="144">
        <f t="shared" si="8"/>
        <v>1.9054607179632521</v>
      </c>
      <c r="K47" s="146" t="str">
        <f aca="true" t="shared" si="9" ref="K47:K78">COMPLEX(0,2*PI()*J47)</f>
        <v>11.9723627865146i</v>
      </c>
      <c r="L47" s="144" t="str">
        <f aca="true" t="shared" si="10" ref="L47:L78">IMDIV(F2_Num,IMSUM(1,IMDIV(K47,F2_Dem)))</f>
        <v>28.990068831209-31.5441604761289i</v>
      </c>
      <c r="M47" s="144" t="str">
        <f>IMPRODUCT(-1,IMPRODUCT(IMDIV(Fv_Co,K47),IMDIV(IMSUM(1,IMDIV(K47,Fv_fcz)),IMSUM(1,IMDIV(K47,Fv_fcp)))))</f>
        <v>-0.0393047743295406+0.129054349384853i</v>
      </c>
      <c r="N47" s="144" t="str">
        <f aca="true" t="shared" si="11" ref="N47:N78">IMPRODUCT(L47,M47)</f>
        <v>2.93146299392969+4.98113058056284i</v>
      </c>
      <c r="O47" s="144">
        <f aca="true" t="shared" si="12" ref="O47:O78">20*LOG10(IMABS(N47))</f>
        <v>15.23813259097266</v>
      </c>
      <c r="P47" s="144">
        <f aca="true" t="shared" si="13" ref="P47:P78">(180/PI())*IMARGUMENT(N47)</f>
        <v>59.52261075515525</v>
      </c>
      <c r="Q47" s="144">
        <f t="shared" si="7"/>
        <v>15.23813259097266</v>
      </c>
      <c r="R47" s="144">
        <f aca="true" t="shared" si="14" ref="R47:R78">IF(Q47=Min_GL,J47,0)</f>
        <v>0</v>
      </c>
      <c r="S47" s="144">
        <f aca="true" t="shared" si="15" ref="S47:S78">IF(Q47=Min_GL,P47,0)</f>
        <v>0</v>
      </c>
    </row>
    <row r="48" spans="10:19" ht="12.75">
      <c r="J48" s="144">
        <f t="shared" si="8"/>
        <v>2.089296130854045</v>
      </c>
      <c r="K48" s="146" t="str">
        <f t="shared" si="9"/>
        <v>13.1274347517293i</v>
      </c>
      <c r="L48" s="144" t="str">
        <f t="shared" si="10"/>
        <v>26.1253910200166-31.169693104306i</v>
      </c>
      <c r="M48" s="144" t="str">
        <f>IMPRODUCT(-1,IMPRODUCT(IMDIV(Fv_Co,K48),IMDIV(IMSUM(1,IMDIV(K48,Fv_fcz)),IMSUM(1,IMDIV(K48,Fv_fcp)))))</f>
        <v>-0.0393035854900498+0.117787620862166i</v>
      </c>
      <c r="N48" s="144" t="str">
        <f t="shared" si="11"/>
        <v>2.64458245434386+4.30232834996526i</v>
      </c>
      <c r="O48" s="144">
        <f t="shared" si="12"/>
        <v>14.066056703182001</v>
      </c>
      <c r="P48" s="144">
        <f t="shared" si="13"/>
        <v>58.42152576685162</v>
      </c>
      <c r="Q48" s="144">
        <f t="shared" si="7"/>
        <v>14.066056703182001</v>
      </c>
      <c r="R48" s="144">
        <f t="shared" si="14"/>
        <v>0</v>
      </c>
      <c r="S48" s="144">
        <f t="shared" si="15"/>
        <v>0</v>
      </c>
    </row>
    <row r="49" spans="1:19" ht="12.75">
      <c r="A49" s="239"/>
      <c r="B49" s="239"/>
      <c r="C49" s="239"/>
      <c r="D49" s="239"/>
      <c r="E49" s="239"/>
      <c r="F49" s="239"/>
      <c r="G49" s="239"/>
      <c r="H49" s="147"/>
      <c r="I49" s="147"/>
      <c r="J49" s="144">
        <f t="shared" si="8"/>
        <v>2.2908676527677794</v>
      </c>
      <c r="K49" s="146" t="str">
        <f t="shared" si="9"/>
        <v>14.3939459765635i</v>
      </c>
      <c r="L49" s="144" t="str">
        <f t="shared" si="10"/>
        <v>23.3512035421272-30.5477337282073i</v>
      </c>
      <c r="M49" s="144" t="str">
        <f>IMPRODUCT(-1,IMPRODUCT(IMDIV(Fv_Co,K49),IMDIV(IMSUM(1,IMDIV(K49,Fv_fcz)),IMSUM(1,IMDIV(K49,Fv_fcp)))))</f>
        <v>-0.0393021562858154+0.107520789159378i</v>
      </c>
      <c r="N49" s="144" t="str">
        <f t="shared" si="11"/>
        <v>2.36676378641283+3.71133163783426i</v>
      </c>
      <c r="O49" s="144">
        <f t="shared" si="12"/>
        <v>12.872541143768743</v>
      </c>
      <c r="P49" s="144">
        <f t="shared" si="13"/>
        <v>57.47381987970065</v>
      </c>
      <c r="Q49" s="144">
        <f t="shared" si="7"/>
        <v>12.872541143768743</v>
      </c>
      <c r="R49" s="144">
        <f t="shared" si="14"/>
        <v>0</v>
      </c>
      <c r="S49" s="144">
        <f t="shared" si="15"/>
        <v>0</v>
      </c>
    </row>
    <row r="50" spans="1:19" ht="12.75">
      <c r="A50" s="12" t="str">
        <f>Copy_Right</f>
        <v>© 2010 Fairchild Semiconductor Corporation.  All rights reserved.</v>
      </c>
      <c r="B50" s="1"/>
      <c r="C50" s="2"/>
      <c r="D50" s="1"/>
      <c r="E50" s="1"/>
      <c r="H50" s="252" t="s">
        <v>80</v>
      </c>
      <c r="I50" s="252"/>
      <c r="J50" s="144">
        <f t="shared" si="8"/>
        <v>2.5118864315095872</v>
      </c>
      <c r="K50" s="146" t="str">
        <f t="shared" si="9"/>
        <v>15.7826479197648i</v>
      </c>
      <c r="L50" s="144" t="str">
        <f t="shared" si="10"/>
        <v>20.7075651826629-29.7028939103881i</v>
      </c>
      <c r="M50" s="144" t="str">
        <f>IMPRODUCT(-1,IMPRODUCT(IMDIV(Fv_Co,K50),IMDIV(IMSUM(1,IMDIV(K50,Fv_fcz)),IMSUM(1,IMDIV(K50,Fv_fcp)))))</f>
        <v>-0.0393004381419908+0.0981666967179473i</v>
      </c>
      <c r="N50" s="144" t="str">
        <f t="shared" si="11"/>
        <v>2.10201859361395+3.20013001581692i</v>
      </c>
      <c r="O50" s="144">
        <f t="shared" si="12"/>
        <v>11.66113655928724</v>
      </c>
      <c r="P50" s="144">
        <f t="shared" si="13"/>
        <v>56.70092458881513</v>
      </c>
      <c r="Q50" s="144">
        <f t="shared" si="7"/>
        <v>11.66113655928724</v>
      </c>
      <c r="R50" s="144">
        <f t="shared" si="14"/>
        <v>0</v>
      </c>
      <c r="S50" s="144">
        <f t="shared" si="15"/>
        <v>0</v>
      </c>
    </row>
    <row r="51" spans="1:19" ht="12.75">
      <c r="A51" s="12" t="str">
        <f>CONCATENATE("Rev. ",[0]!Rev,"  ·  ",TEXT([0]!Date,"mm/dd/yyyy"),"  ·  M. Smith")</f>
        <v>Rev. 3  ·  06/01/2010  ·  M. Smith</v>
      </c>
      <c r="B51" s="1"/>
      <c r="C51" s="2"/>
      <c r="D51" s="1"/>
      <c r="E51" s="1"/>
      <c r="F51" s="1"/>
      <c r="G51" s="1"/>
      <c r="J51" s="144">
        <f>10^(4/100)*J50</f>
        <v>2.7542287033381743</v>
      </c>
      <c r="K51" s="146" t="str">
        <f t="shared" si="9"/>
        <v>17.3053293214267i</v>
      </c>
      <c r="L51" s="144" t="str">
        <f t="shared" si="10"/>
        <v>18.2267117815994-28.6667232085993i</v>
      </c>
      <c r="M51" s="144" t="str">
        <f>IMPRODUCT(-1,IMPRODUCT(IMDIV(Fv_Co,K51),IMDIV(IMSUM(1,IMDIV(K51,Fv_fcz)),IMSUM(1,IMDIV(K51,Fv_fcp)))))</f>
        <v>-0.0392983726776378+0.08964593360034i</v>
      </c>
      <c r="N51" s="144" t="str">
        <f t="shared" si="11"/>
        <v>1.85357505301623+2.76050616622402i</v>
      </c>
      <c r="O51" s="144">
        <f t="shared" si="12"/>
        <v>10.436033239802223</v>
      </c>
      <c r="P51" s="144">
        <f t="shared" si="13"/>
        <v>56.12013916924481</v>
      </c>
      <c r="Q51" s="144">
        <f t="shared" si="7"/>
        <v>10.436033239802223</v>
      </c>
      <c r="R51" s="144">
        <f t="shared" si="14"/>
        <v>0</v>
      </c>
      <c r="S51" s="144">
        <f t="shared" si="15"/>
        <v>0</v>
      </c>
    </row>
    <row r="52" spans="10:19" ht="12.75">
      <c r="J52" s="144">
        <f>10^(4/100)*J51</f>
        <v>3.019951720402025</v>
      </c>
      <c r="K52" s="146" t="str">
        <f t="shared" si="9"/>
        <v>18.9749162780217i</v>
      </c>
      <c r="L52" s="144" t="str">
        <f t="shared" si="10"/>
        <v>15.9319343378686-27.4750337645407i</v>
      </c>
      <c r="M52" s="144" t="str">
        <f>IMPRODUCT(-1,IMPRODUCT(IMDIV(Fv_Co,K52),IMDIV(IMSUM(1,IMDIV(K52,Fv_fcz)),IMSUM(1,IMDIV(K52,Fv_fcp)))))</f>
        <v>-0.0392958897307008+0.0818861631681246i</v>
      </c>
      <c r="N52" s="144" t="str">
        <f t="shared" si="11"/>
        <v>1.62376556295526+2.38426087193323i</v>
      </c>
      <c r="O52" s="144">
        <f t="shared" si="12"/>
        <v>9.201919367301295</v>
      </c>
      <c r="P52" s="144">
        <f t="shared" si="13"/>
        <v>55.74375927304709</v>
      </c>
      <c r="Q52" s="144">
        <f t="shared" si="7"/>
        <v>9.201919367301295</v>
      </c>
      <c r="R52" s="144">
        <f t="shared" si="14"/>
        <v>0</v>
      </c>
      <c r="S52" s="144">
        <f t="shared" si="15"/>
        <v>0</v>
      </c>
    </row>
    <row r="53" spans="10:19" ht="12.75">
      <c r="J53" s="144">
        <f t="shared" si="8"/>
        <v>3.311311214825921</v>
      </c>
      <c r="K53" s="146" t="str">
        <f t="shared" si="9"/>
        <v>20.8055819724932i</v>
      </c>
      <c r="L53" s="144" t="str">
        <f t="shared" si="10"/>
        <v>13.8374031123521-26.1652157413702i</v>
      </c>
      <c r="M53" s="144" t="str">
        <f>IMPRODUCT(-1,IMPRODUCT(IMDIV(Fv_Co,K53),IMDIV(IMSUM(1,IMDIV(K53,Fv_fcz)),IMSUM(1,IMDIV(K53,Fv_fcp)))))</f>
        <v>-0.0392929049872388+0.0748215077395i</v>
      </c>
      <c r="N53" s="144" t="str">
        <f t="shared" si="11"/>
        <v>1.41400912633484+2.0634427001617i</v>
      </c>
      <c r="O53" s="144">
        <f t="shared" si="12"/>
        <v>7.963812572384798</v>
      </c>
      <c r="P53" s="144">
        <f t="shared" si="13"/>
        <v>55.57844681873446</v>
      </c>
      <c r="Q53" s="144">
        <f t="shared" si="7"/>
        <v>7.963812572384798</v>
      </c>
      <c r="R53" s="144">
        <f t="shared" si="14"/>
        <v>0</v>
      </c>
      <c r="S53" s="144">
        <f t="shared" si="15"/>
        <v>0</v>
      </c>
    </row>
    <row r="54" spans="10:19" ht="12.75">
      <c r="J54" s="144">
        <f t="shared" si="8"/>
        <v>3.6307805477010247</v>
      </c>
      <c r="K54" s="146" t="str">
        <f t="shared" si="9"/>
        <v>22.8128669909085i</v>
      </c>
      <c r="L54" s="144" t="str">
        <f t="shared" si="10"/>
        <v>11.9487927814616-24.7738644223262i</v>
      </c>
      <c r="M54" s="144" t="str">
        <f>IMPRODUCT(-1,IMPRODUCT(IMDIV(Fv_Co,K54),IMDIV(IMSUM(1,IMDIV(K54,Fv_fcz)),IMSUM(1,IMDIV(K54,Fv_fcp)))))</f>
        <v>-0.0392893171365289+0.0683919889901682i</v>
      </c>
      <c r="N54" s="144" t="str">
        <f t="shared" si="11"/>
        <v>1.22487395382614+1.79054992034167i</v>
      </c>
      <c r="O54" s="144">
        <f t="shared" si="12"/>
        <v>6.726874715166247</v>
      </c>
      <c r="P54" s="144">
        <f t="shared" si="13"/>
        <v>55.624867993299496</v>
      </c>
      <c r="Q54" s="144">
        <f t="shared" si="7"/>
        <v>6.726874715166247</v>
      </c>
      <c r="R54" s="144">
        <f t="shared" si="14"/>
        <v>0</v>
      </c>
      <c r="S54" s="144">
        <f t="shared" si="15"/>
        <v>0</v>
      </c>
    </row>
    <row r="55" spans="10:19" ht="12.75">
      <c r="J55" s="144">
        <f t="shared" si="8"/>
        <v>3.981071705534985</v>
      </c>
      <c r="K55" s="146" t="str">
        <f t="shared" si="9"/>
        <v>25.0138112470458i</v>
      </c>
      <c r="L55" s="144" t="str">
        <f t="shared" si="10"/>
        <v>10.2644734151321-23.3349245614918i</v>
      </c>
      <c r="M55" s="144" t="str">
        <f>IMPRODUCT(-1,IMPRODUCT(IMDIV(Fv_Co,K55),IMDIV(IMSUM(1,IMDIV(K55,Fv_fcz)),IMSUM(1,IMDIV(K55,Fv_fcp)))))</f>
        <v>-0.0392850044585378+0.0625430183196088i</v>
      </c>
      <c r="N55" s="144" t="str">
        <f t="shared" si="11"/>
        <v>1.05619673045806+1.55868376428159i</v>
      </c>
      <c r="O55" s="144">
        <f t="shared" si="12"/>
        <v>5.496219496840534</v>
      </c>
      <c r="P55" s="144">
        <f t="shared" si="13"/>
        <v>55.87761155164887</v>
      </c>
      <c r="Q55" s="144">
        <f t="shared" si="7"/>
        <v>5.496219496840534</v>
      </c>
      <c r="R55" s="144">
        <f t="shared" si="14"/>
        <v>0</v>
      </c>
      <c r="S55" s="144">
        <f t="shared" si="15"/>
        <v>0</v>
      </c>
    </row>
    <row r="56" spans="10:19" ht="12.75">
      <c r="J56" s="144">
        <f t="shared" si="8"/>
        <v>4.3651583224016735</v>
      </c>
      <c r="K56" s="146" t="str">
        <f t="shared" si="9"/>
        <v>27.4270986348269i</v>
      </c>
      <c r="L56" s="144" t="str">
        <f t="shared" si="10"/>
        <v>8.77700791200004-21.8784331784901i</v>
      </c>
      <c r="M56" s="144" t="str">
        <f>IMPRODUCT(-1,IMPRODUCT(IMDIV(Fv_Co,K56),IMDIV(IMSUM(1,IMDIV(K56,Fv_fcz)),IMSUM(1,IMDIV(K56,Fv_fcp)))))</f>
        <v>-0.0392798207324039+0.0572249328202819i</v>
      </c>
      <c r="N56" s="144" t="str">
        <f t="shared" si="11"/>
        <v>0.90723257150187+1.36164462128425i</v>
      </c>
      <c r="O56" s="144">
        <f t="shared" si="12"/>
        <v>4.276722207887466</v>
      </c>
      <c r="P56" s="144">
        <f t="shared" si="13"/>
        <v>56.32538961442757</v>
      </c>
      <c r="Q56" s="144">
        <f t="shared" si="7"/>
        <v>4.276722207887466</v>
      </c>
      <c r="R56" s="144">
        <f t="shared" si="14"/>
        <v>0</v>
      </c>
      <c r="S56" s="144">
        <f t="shared" si="15"/>
        <v>0</v>
      </c>
    </row>
    <row r="57" spans="10:19" ht="12.75">
      <c r="J57" s="144">
        <f t="shared" si="8"/>
        <v>4.786300923226399</v>
      </c>
      <c r="K57" s="146" t="str">
        <f t="shared" si="9"/>
        <v>30.0732156365562i</v>
      </c>
      <c r="L57" s="144" t="str">
        <f t="shared" si="10"/>
        <v>7.47472473034312-20.4298383644382i</v>
      </c>
      <c r="M57" s="144" t="str">
        <f>IMPRODUCT(-1,IMPRODUCT(IMDIV(Fv_Co,K57),IMDIV(IMSUM(1,IMDIV(K57,Fv_fcz)),IMSUM(1,IMDIV(K57,Fv_fcp)))))</f>
        <v>-0.0392735903335816+0.0523925728630962i</v>
      </c>
      <c r="N57" s="144" t="str">
        <f t="shared" si="11"/>
        <v>0.77681251817432+1.19397316257232i</v>
      </c>
      <c r="O57" s="144">
        <f t="shared" si="12"/>
        <v>3.072841021329337</v>
      </c>
      <c r="P57" s="144">
        <f t="shared" si="13"/>
        <v>56.9515143171664</v>
      </c>
      <c r="Q57" s="144">
        <f t="shared" si="7"/>
        <v>3.072841021329337</v>
      </c>
      <c r="R57" s="144">
        <f t="shared" si="14"/>
        <v>0</v>
      </c>
      <c r="S57" s="144">
        <f t="shared" si="15"/>
        <v>0</v>
      </c>
    </row>
    <row r="58" spans="10:19" ht="12.75">
      <c r="J58" s="144">
        <f t="shared" si="8"/>
        <v>5.248074602497743</v>
      </c>
      <c r="K58" s="146" t="str">
        <f t="shared" si="9"/>
        <v>32.9746252333962i</v>
      </c>
      <c r="L58" s="144" t="str">
        <f t="shared" si="10"/>
        <v>6.3431927110054-19.0098037224932i</v>
      </c>
      <c r="M58" s="144" t="str">
        <f>IMPRODUCT(-1,IMPRODUCT(IMDIV(Fv_Co,K58),IMDIV(IMSUM(1,IMDIV(K58,Fv_fcz)),IMSUM(1,IMDIV(K58,Fv_fcp)))))</f>
        <v>-0.039266102362731+0.0480048976508922i</v>
      </c>
      <c r="N58" s="144" t="str">
        <f t="shared" si="11"/>
        <v>0.663491227764968+1.05094521573454i</v>
      </c>
      <c r="O58" s="144">
        <f t="shared" si="12"/>
        <v>1.888459615989375</v>
      </c>
      <c r="P58" s="144">
        <f t="shared" si="13"/>
        <v>57.734631769517726</v>
      </c>
      <c r="Q58" s="144">
        <f t="shared" si="7"/>
        <v>1.888459615989375</v>
      </c>
      <c r="R58" s="144">
        <f t="shared" si="14"/>
        <v>0</v>
      </c>
      <c r="S58" s="144">
        <f t="shared" si="15"/>
        <v>0</v>
      </c>
    </row>
    <row r="59" spans="10:19" ht="12.75">
      <c r="J59" s="144">
        <f t="shared" si="8"/>
        <v>5.754399373371588</v>
      </c>
      <c r="K59" s="146" t="str">
        <f t="shared" si="9"/>
        <v>36.1559575944118i</v>
      </c>
      <c r="L59" s="144" t="str">
        <f t="shared" si="10"/>
        <v>5.36649080778977-17.6343768200335i</v>
      </c>
      <c r="M59" s="144" t="str">
        <f>IMPRODUCT(-1,IMPRODUCT(IMDIV(Fv_Co,K59),IMDIV(IMSUM(1,IMDIV(K59,Fv_fcz)),IMSUM(1,IMDIV(K59,Fv_fcp)))))</f>
        <v>-0.0392571036208703+0.0440246353945391i</v>
      </c>
      <c r="N59" s="144" t="str">
        <f t="shared" si="11"/>
        <v>0.565674124190036+0.928532359274619i</v>
      </c>
      <c r="O59" s="144">
        <f t="shared" si="12"/>
        <v>0.7267609756664002</v>
      </c>
      <c r="P59" s="144">
        <f t="shared" si="13"/>
        <v>58.64967747432019</v>
      </c>
      <c r="Q59" s="144">
        <f t="shared" si="7"/>
        <v>0.7267609756664002</v>
      </c>
      <c r="R59" s="144">
        <f t="shared" si="14"/>
        <v>0</v>
      </c>
      <c r="S59" s="144">
        <f t="shared" si="15"/>
        <v>0</v>
      </c>
    </row>
    <row r="60" spans="10:19" ht="12.75">
      <c r="J60" s="144">
        <f t="shared" si="8"/>
        <v>6.309573444801954</v>
      </c>
      <c r="K60" s="146" t="str">
        <f t="shared" si="9"/>
        <v>39.6442191629501i</v>
      </c>
      <c r="L60" s="144" t="str">
        <f t="shared" si="10"/>
        <v>4.52822439038186-16.3153977786033i</v>
      </c>
      <c r="M60" s="144" t="str">
        <f>IMPRODUCT(-1,IMPRODUCT(IMDIV(Fv_Co,K60),IMDIV(IMSUM(1,IMDIV(K60,Fv_fcz)),IMSUM(1,IMDIV(K60,Fv_fcp)))))</f>
        <v>-0.0392462902123549+0.0404179650347698i</v>
      </c>
      <c r="N60" s="144" t="str">
        <f t="shared" si="11"/>
        <v>0.481719168372359+0.823340451229121i</v>
      </c>
      <c r="O60" s="144">
        <f t="shared" si="12"/>
        <v>-0.4098588041155464</v>
      </c>
      <c r="P60" s="144">
        <f t="shared" si="13"/>
        <v>59.668995758365824</v>
      </c>
      <c r="Q60" s="144">
        <f t="shared" si="7"/>
        <v>0.4098588041155464</v>
      </c>
      <c r="R60" s="144">
        <f t="shared" si="14"/>
        <v>6.309573444801954</v>
      </c>
      <c r="S60" s="144">
        <f t="shared" si="15"/>
        <v>59.668995758365824</v>
      </c>
    </row>
    <row r="61" spans="10:19" ht="12.75">
      <c r="J61" s="144">
        <f t="shared" si="8"/>
        <v>6.918309709189389</v>
      </c>
      <c r="K61" s="146" t="str">
        <f t="shared" si="9"/>
        <v>43.4690219152966i</v>
      </c>
      <c r="L61" s="144" t="str">
        <f t="shared" si="10"/>
        <v>3.8122839164401-15.0610400655701i</v>
      </c>
      <c r="M61" s="144" t="str">
        <f>IMPRODUCT(-1,IMPRODUCT(IMDIV(Fv_Co,K61),IMDIV(IMSUM(1,IMDIV(K61,Fv_fcz)),IMSUM(1,IMDIV(K61,Fv_fcp)))))</f>
        <v>-0.0392332975196261+0.0371542266675505i</v>
      </c>
      <c r="N61" s="144" t="str">
        <f t="shared" si="11"/>
        <v>0.410012827322271+0.732536726599993i</v>
      </c>
      <c r="O61" s="144">
        <f t="shared" si="12"/>
        <v>-1.5198304904743316</v>
      </c>
      <c r="P61" s="144">
        <f t="shared" si="13"/>
        <v>60.763544578557166</v>
      </c>
      <c r="Q61" s="144">
        <f t="shared" si="7"/>
        <v>1.5198304904743316</v>
      </c>
      <c r="R61" s="144">
        <f t="shared" si="14"/>
        <v>0</v>
      </c>
      <c r="S61" s="144">
        <f t="shared" si="15"/>
        <v>0</v>
      </c>
    </row>
    <row r="62" spans="10:19" ht="12.75">
      <c r="J62" s="144">
        <f t="shared" si="8"/>
        <v>7.585775750291864</v>
      </c>
      <c r="K62" s="146" t="str">
        <f t="shared" si="9"/>
        <v>47.662834737793i</v>
      </c>
      <c r="L62" s="144" t="str">
        <f t="shared" si="10"/>
        <v>3.20336978848486-13.8763997457824i</v>
      </c>
      <c r="M62" s="144" t="str">
        <f>IMPRODUCT(-1,IMPRODUCT(IMDIV(Fv_Co,K62),IMDIV(IMSUM(1,IMDIV(K62,Fv_fcz)),IMSUM(1,IMDIV(K62,Fv_fcp)))))</f>
        <v>-0.0392176882512875+0.0342056580313528i</v>
      </c>
      <c r="N62" s="144" t="str">
        <f t="shared" si="11"/>
        <v>0.349022626692192+0.653773690813219i</v>
      </c>
      <c r="O62" s="144">
        <f t="shared" si="12"/>
        <v>-2.6024034594273187</v>
      </c>
      <c r="P62" s="144">
        <f t="shared" si="13"/>
        <v>61.90409287009417</v>
      </c>
      <c r="Q62" s="144">
        <f>ABS(O62)</f>
        <v>2.6024034594273187</v>
      </c>
      <c r="R62" s="144">
        <f t="shared" si="14"/>
        <v>0</v>
      </c>
      <c r="S62" s="144">
        <f t="shared" si="15"/>
        <v>0</v>
      </c>
    </row>
    <row r="63" spans="10:19" ht="12.75">
      <c r="J63" s="144">
        <f t="shared" si="8"/>
        <v>8.31763771102674</v>
      </c>
      <c r="K63" s="146" t="str">
        <f t="shared" si="9"/>
        <v>52.2612590563661i</v>
      </c>
      <c r="L63" s="144" t="str">
        <f t="shared" si="10"/>
        <v>2.68732140184046-12.7640747195726i</v>
      </c>
      <c r="M63" s="144" t="str">
        <f>IMPRODUCT(-1,IMPRODUCT(IMDIV(Fv_Co,K63),IMDIV(IMSUM(1,IMDIV(K63,Fv_fcz)),IMSUM(1,IMDIV(K63,Fv_fcp)))))</f>
        <v>-0.0391989382182024+0.0315471545800587i</v>
      </c>
      <c r="N63" s="144" t="str">
        <f t="shared" si="11"/>
        <v>0.297330092646579+0.585115520015207i</v>
      </c>
      <c r="O63" s="144">
        <f t="shared" si="12"/>
        <v>-3.657592320431813</v>
      </c>
      <c r="P63" s="144">
        <f t="shared" si="13"/>
        <v>63.06231608234366</v>
      </c>
      <c r="Q63" s="144">
        <f t="shared" si="7"/>
        <v>3.657592320431813</v>
      </c>
      <c r="R63" s="144">
        <f t="shared" si="14"/>
        <v>0</v>
      </c>
      <c r="S63" s="144">
        <f t="shared" si="15"/>
        <v>0</v>
      </c>
    </row>
    <row r="64" spans="10:19" ht="12.75">
      <c r="J64" s="144">
        <f t="shared" si="8"/>
        <v>9.12010839355913</v>
      </c>
      <c r="K64" s="146" t="str">
        <f t="shared" si="9"/>
        <v>57.3033310582959i</v>
      </c>
      <c r="L64" s="144" t="str">
        <f t="shared" si="10"/>
        <v>2.25129250277048-11.724697646188i</v>
      </c>
      <c r="M64" s="144" t="str">
        <f>IMPRODUCT(-1,IMPRODUCT(IMDIV(Fv_Co,K64),IMDIV(IMSUM(1,IMDIV(K64,Fv_fcz)),IMSUM(1,IMDIV(K64,Fv_fcp)))))</f>
        <v>-0.0391764194417674+0.0291560507932126i</v>
      </c>
      <c r="N64" s="144" t="str">
        <f t="shared" si="11"/>
        <v>0.253648300732675+0.524970471376119i</v>
      </c>
      <c r="O64" s="144">
        <f t="shared" si="12"/>
        <v>-4.686086451923391</v>
      </c>
      <c r="P64" s="144">
        <f t="shared" si="13"/>
        <v>64.2117089253148</v>
      </c>
      <c r="Q64" s="144">
        <f t="shared" si="7"/>
        <v>4.686086451923391</v>
      </c>
      <c r="R64" s="144">
        <f t="shared" si="14"/>
        <v>0</v>
      </c>
      <c r="S64" s="144">
        <f t="shared" si="15"/>
        <v>0</v>
      </c>
    </row>
    <row r="65" spans="10:19" ht="12.75">
      <c r="J65" s="144">
        <f aca="true" t="shared" si="16" ref="J65:J89">10^(4/100)*J64</f>
        <v>10.000000000000037</v>
      </c>
      <c r="K65" s="146" t="str">
        <f t="shared" si="9"/>
        <v>62.8318530717961i</v>
      </c>
      <c r="L65" s="144" t="str">
        <f t="shared" si="10"/>
        <v>1.88381276422744-10.757403581957i</v>
      </c>
      <c r="M65" s="144" t="str">
        <f>IMPRODUCT(-1,IMPRODUCT(IMDIV(Fv_Co,K65),IMDIV(IMSUM(1,IMDIV(K65,Fv_fcz)),IMSUM(1,IMDIV(K65,Fv_fcp)))))</f>
        <v>-0.039149380146014+0.027011920462621i</v>
      </c>
      <c r="N65" s="144" t="str">
        <f t="shared" si="11"/>
        <v>0.216828027909483+0.472031082767909i</v>
      </c>
      <c r="O65" s="144">
        <f t="shared" si="12"/>
        <v>-5.689134093193168</v>
      </c>
      <c r="P65" s="144">
        <f t="shared" si="13"/>
        <v>65.32826030419652</v>
      </c>
      <c r="Q65" s="144">
        <f t="shared" si="7"/>
        <v>5.689134093193168</v>
      </c>
      <c r="R65" s="144">
        <f t="shared" si="14"/>
        <v>0</v>
      </c>
      <c r="S65" s="144">
        <f t="shared" si="15"/>
        <v>0</v>
      </c>
    </row>
    <row r="66" spans="10:19" ht="12.75">
      <c r="J66" s="144">
        <f t="shared" si="16"/>
        <v>10.964781961431893</v>
      </c>
      <c r="K66" s="146" t="str">
        <f t="shared" si="9"/>
        <v>68.8937569164966i</v>
      </c>
      <c r="L66" s="144" t="str">
        <f t="shared" si="10"/>
        <v>1.57476998414213-9.86022568374415i</v>
      </c>
      <c r="M66" s="144" t="str">
        <f>IMPRODUCT(-1,IMPRODUCT(IMDIV(Fv_Co,K66),IMDIV(IMSUM(1,IMDIV(K66,Fv_fcz)),IMSUM(1,IMDIV(K66,Fv_fcp)))))</f>
        <v>-0.0391169211337708+0.0250963937363484i</v>
      </c>
      <c r="N66" s="144" t="str">
        <f t="shared" si="11"/>
        <v>0.185855952814981+0.425222717998415i</v>
      </c>
      <c r="O66" s="144">
        <f t="shared" si="12"/>
        <v>-6.668414205007678</v>
      </c>
      <c r="P66" s="144">
        <f t="shared" si="13"/>
        <v>66.39086798941273</v>
      </c>
      <c r="Q66" s="144">
        <f t="shared" si="7"/>
        <v>6.668414205007678</v>
      </c>
      <c r="R66" s="144">
        <f t="shared" si="14"/>
        <v>0</v>
      </c>
      <c r="S66" s="144">
        <f t="shared" si="15"/>
        <v>0</v>
      </c>
    </row>
    <row r="67" spans="10:19" ht="12.75">
      <c r="J67" s="144">
        <f t="shared" si="16"/>
        <v>12.022644346174177</v>
      </c>
      <c r="K67" s="146" t="str">
        <f t="shared" si="9"/>
        <v>75.5405023093273i</v>
      </c>
      <c r="L67" s="144" t="str">
        <f t="shared" si="10"/>
        <v>1.31534063615413-9.03042030796036i</v>
      </c>
      <c r="M67" s="144" t="str">
        <f>IMPRODUCT(-1,IMPRODUCT(IMDIV(Fv_Co,K67),IMDIV(IMSUM(1,IMDIV(K67,Fv_fcz)),IMSUM(1,IMDIV(K67,Fv_fcp)))))</f>
        <v>-0.0390779680017836+0.0233929886919298i</v>
      </c>
      <c r="N67" s="144" t="str">
        <f t="shared" si="11"/>
        <v>0.159847680856413+0.383660224464721i</v>
      </c>
      <c r="O67" s="144">
        <f t="shared" si="12"/>
        <v>-7.625908715022116</v>
      </c>
      <c r="P67" s="144">
        <f t="shared" si="13"/>
        <v>67.38150247519523</v>
      </c>
      <c r="Q67" s="144">
        <f t="shared" si="7"/>
        <v>7.625908715022116</v>
      </c>
      <c r="R67" s="144">
        <f t="shared" si="14"/>
        <v>0</v>
      </c>
      <c r="S67" s="144">
        <f t="shared" si="15"/>
        <v>0</v>
      </c>
    </row>
    <row r="68" spans="10:19" ht="12.75">
      <c r="J68" s="144">
        <f t="shared" si="16"/>
        <v>13.182567385564125</v>
      </c>
      <c r="K68" s="146" t="str">
        <f t="shared" si="9"/>
        <v>82.8285137078813i</v>
      </c>
      <c r="L68" s="144" t="str">
        <f t="shared" si="10"/>
        <v>1.09788994873481-8.26472744764007i</v>
      </c>
      <c r="M68" s="144" t="str">
        <f>IMPRODUCT(-1,IMPRODUCT(IMDIV(Fv_Co,K68),IMDIV(IMSUM(1,IMDIV(K68,Fv_fcz)),IMSUM(1,IMDIV(K68,Fv_fcp)))))</f>
        <v>-0.0390312386182864+0.0218869551428694i</v>
      </c>
      <c r="N68" s="144" t="str">
        <f t="shared" si="11"/>
        <v>0.138037714348853+0.346612017183707i</v>
      </c>
      <c r="O68" s="144">
        <f t="shared" si="12"/>
        <v>-8.563785454586599</v>
      </c>
      <c r="P68" s="144">
        <f t="shared" si="13"/>
        <v>68.28515464214092</v>
      </c>
      <c r="Q68" s="144">
        <f t="shared" si="7"/>
        <v>8.563785454586599</v>
      </c>
      <c r="R68" s="144">
        <f t="shared" si="14"/>
        <v>0</v>
      </c>
      <c r="S68" s="144">
        <f t="shared" si="15"/>
        <v>0</v>
      </c>
    </row>
    <row r="69" spans="10:19" ht="12.75">
      <c r="J69" s="144">
        <f t="shared" si="16"/>
        <v>14.454397707459336</v>
      </c>
      <c r="K69" s="146" t="str">
        <f t="shared" si="9"/>
        <v>90.8196592996388i</v>
      </c>
      <c r="L69" s="144" t="str">
        <f t="shared" si="10"/>
        <v>0.915856925738576-7.55957466538018i</v>
      </c>
      <c r="M69" s="144" t="str">
        <f>IMPRODUCT(-1,IMPRODUCT(IMDIV(Fv_Co,K69),IMDIV(IMSUM(1,IMDIV(K69,Fv_fcz)),IMSUM(1,IMDIV(K69,Fv_fcp)))))</f>
        <v>-0.038975205280952+0.0205651282476785i</v>
      </c>
      <c r="N69" s="144" t="str">
        <f t="shared" si="11"/>
        <v>0.119767910802802+0.313470689554215i</v>
      </c>
      <c r="O69" s="144">
        <f t="shared" si="12"/>
        <v>-9.484298845148853</v>
      </c>
      <c r="P69" s="144">
        <f t="shared" si="13"/>
        <v>69.0896169869173</v>
      </c>
      <c r="Q69" s="144">
        <f t="shared" si="7"/>
        <v>9.484298845148853</v>
      </c>
      <c r="R69" s="144">
        <f t="shared" si="14"/>
        <v>0</v>
      </c>
      <c r="S69" s="144">
        <f t="shared" si="15"/>
        <v>0</v>
      </c>
    </row>
    <row r="70" spans="10:19" ht="12.75">
      <c r="J70" s="144">
        <f t="shared" si="16"/>
        <v>15.848931924611202</v>
      </c>
      <c r="K70" s="146" t="str">
        <f t="shared" si="9"/>
        <v>99.5817762032066i</v>
      </c>
      <c r="L70" s="144" t="str">
        <f t="shared" si="10"/>
        <v>0.763635004135102-6.91123331855451i</v>
      </c>
      <c r="M70" s="144" t="str">
        <f>IMPRODUCT(-1,IMPRODUCT(IMDIV(Fv_Co,K70),IMDIV(IMSUM(1,IMDIV(K70,Fv_fcz)),IMSUM(1,IMDIV(K70,Fv_fcp)))))</f>
        <v>-0.0389080510108837+0.019415789279838i</v>
      </c>
      <c r="N70" s="144" t="str">
        <f t="shared" si="11"/>
        <v>0.104475500082265+0.283729194833433i</v>
      </c>
      <c r="O70" s="144">
        <f t="shared" si="12"/>
        <v>-10.389712005772264</v>
      </c>
      <c r="P70" s="144">
        <f t="shared" si="13"/>
        <v>69.78515310686578</v>
      </c>
      <c r="Q70" s="144">
        <f t="shared" si="7"/>
        <v>10.389712005772264</v>
      </c>
      <c r="R70" s="144">
        <f t="shared" si="14"/>
        <v>0</v>
      </c>
      <c r="S70" s="144">
        <f t="shared" si="15"/>
        <v>0</v>
      </c>
    </row>
    <row r="71" spans="10:19" ht="12.75">
      <c r="J71" s="144">
        <f t="shared" si="16"/>
        <v>17.37800828749383</v>
      </c>
      <c r="K71" s="146" t="str">
        <f t="shared" si="9"/>
        <v>109.189246340026i</v>
      </c>
      <c r="L71" s="144" t="str">
        <f t="shared" si="10"/>
        <v>0.636455382209898-6.31593556125802i</v>
      </c>
      <c r="M71" s="144" t="str">
        <f>IMPRODUCT(-1,IMPRODUCT(IMDIV(Fv_Co,K71),IMDIV(IMSUM(1,IMDIV(K71,Fv_fcz)),IMSUM(1,IMDIV(K71,Fv_fcp)))))</f>
        <v>-0.0388276195444012+0.0184285306217074i</v>
      </c>
      <c r="N71" s="144" t="str">
        <f t="shared" si="11"/>
        <v>0.0916813644579418+0.256961680539886i</v>
      </c>
      <c r="O71" s="144">
        <f t="shared" si="12"/>
        <v>-11.282241034136442</v>
      </c>
      <c r="P71" s="144">
        <f t="shared" si="13"/>
        <v>70.36410687681487</v>
      </c>
      <c r="Q71" s="144">
        <f t="shared" si="7"/>
        <v>11.282241034136442</v>
      </c>
      <c r="R71" s="144">
        <f t="shared" si="14"/>
        <v>0</v>
      </c>
      <c r="S71" s="144">
        <f t="shared" si="15"/>
        <v>0</v>
      </c>
    </row>
    <row r="72" spans="10:19" ht="12.75">
      <c r="J72" s="144">
        <f t="shared" si="16"/>
        <v>19.05460717963256</v>
      </c>
      <c r="K72" s="146" t="str">
        <f t="shared" si="9"/>
        <v>119.723627865146i</v>
      </c>
      <c r="L72" s="144" t="str">
        <f t="shared" si="10"/>
        <v>0.530277328242091-5.76995978737171i</v>
      </c>
      <c r="M72" s="144" t="str">
        <f>IMPRODUCT(-1,IMPRODUCT(IMDIV(Fv_Co,K72),IMDIV(IMSUM(1,IMDIV(K72,Fv_fcz)),IMSUM(1,IMDIV(K72,Fv_fcp)))))</f>
        <v>-0.0387313587937689+0.0175941216599019i</v>
      </c>
      <c r="N72" s="144" t="str">
        <f t="shared" si="11"/>
        <v>0.080979013011414+0.232808146576891i</v>
      </c>
      <c r="O72" s="144">
        <f t="shared" si="12"/>
        <v>-12.164020082320537</v>
      </c>
      <c r="P72" s="144">
        <f t="shared" si="13"/>
        <v>70.82049440201726</v>
      </c>
      <c r="Q72" s="144">
        <f t="shared" si="7"/>
        <v>12.164020082320537</v>
      </c>
      <c r="R72" s="144">
        <f t="shared" si="14"/>
        <v>0</v>
      </c>
      <c r="S72" s="144">
        <f t="shared" si="15"/>
        <v>0</v>
      </c>
    </row>
    <row r="73" spans="10:19" ht="12.75">
      <c r="J73" s="144">
        <f t="shared" si="16"/>
        <v>20.892961308540492</v>
      </c>
      <c r="K73" s="146" t="str">
        <f t="shared" si="9"/>
        <v>131.274347517293i</v>
      </c>
      <c r="L73" s="144" t="str">
        <f t="shared" si="10"/>
        <v>0.441687831854894-5.26969114310106i</v>
      </c>
      <c r="M73" s="144" t="str">
        <f>IMPRODUCT(-1,IMPRODUCT(IMDIV(Fv_Co,K73),IMDIV(IMSUM(1,IMDIV(K73,Fv_fcz)),IMSUM(1,IMDIV(K73,Fv_fcp)))))</f>
        <v>-0.0386162579082626+0.0169043717847842i</v>
      </c>
      <c r="N73" s="144" t="str">
        <f t="shared" si="11"/>
        <v>0.0720244870441148+0.210962207601368i</v>
      </c>
      <c r="O73" s="144">
        <f t="shared" si="12"/>
        <v>-13.037084564483166</v>
      </c>
      <c r="P73" s="144">
        <f t="shared" si="13"/>
        <v>71.14961138746122</v>
      </c>
      <c r="Q73" s="144">
        <f t="shared" si="7"/>
        <v>13.037084564483166</v>
      </c>
      <c r="R73" s="144">
        <f t="shared" si="14"/>
        <v>0</v>
      </c>
      <c r="S73" s="144">
        <f t="shared" si="15"/>
        <v>0</v>
      </c>
    </row>
    <row r="74" spans="10:19" ht="12.75">
      <c r="J74" s="144">
        <f t="shared" si="16"/>
        <v>22.90867652767784</v>
      </c>
      <c r="K74" s="146" t="str">
        <f t="shared" si="9"/>
        <v>143.939459765635i</v>
      </c>
      <c r="L74" s="144" t="str">
        <f t="shared" si="10"/>
        <v>0.367811619891066-4.81166266496828i</v>
      </c>
      <c r="M74" s="144" t="str">
        <f>IMPRODUCT(-1,IMPRODUCT(IMDIV(Fv_Co,K74),IMDIV(IMSUM(1,IMDIV(K74,Fv_fcz)),IMSUM(1,IMDIV(K74,Fv_fcp)))))</f>
        <v>-0.0384787786406109+0.0163519861453933i</v>
      </c>
      <c r="N74" s="144" t="str">
        <f t="shared" si="11"/>
        <v>0.0645272993306347+0.19116135309118i</v>
      </c>
      <c r="O74" s="144">
        <f t="shared" si="12"/>
        <v>-13.903369277943742</v>
      </c>
      <c r="P74" s="144">
        <f t="shared" si="13"/>
        <v>71.34767833619199</v>
      </c>
      <c r="Q74" s="144">
        <f t="shared" si="7"/>
        <v>13.903369277943742</v>
      </c>
      <c r="R74" s="144">
        <f t="shared" si="14"/>
        <v>0</v>
      </c>
      <c r="S74" s="144">
        <f t="shared" si="15"/>
        <v>0</v>
      </c>
    </row>
    <row r="75" spans="10:19" ht="12.75">
      <c r="J75" s="144">
        <f t="shared" si="16"/>
        <v>25.118864315095923</v>
      </c>
      <c r="K75" s="146" t="str">
        <f t="shared" si="9"/>
        <v>157.826479197648i</v>
      </c>
      <c r="L75" s="144" t="str">
        <f t="shared" si="10"/>
        <v>0.30623167527675-4.39258159156306i</v>
      </c>
      <c r="M75" s="144" t="str">
        <f>IMPRODUCT(-1,IMPRODUCT(IMDIV(Fv_Co,K75),IMDIV(IMSUM(1,IMDIV(K75,Fv_fcz)),IMSUM(1,IMDIV(K75,Fv_fcp)))))</f>
        <v>-0.0383147825900704+0.0159304092172812i</v>
      </c>
      <c r="N75" s="144" t="str">
        <f t="shared" si="11"/>
        <v>0.0582424222134742+0.173179204592336i</v>
      </c>
      <c r="O75" s="144">
        <f t="shared" si="12"/>
        <v>-14.764718190827637</v>
      </c>
      <c r="P75" s="144">
        <f t="shared" si="13"/>
        <v>71.41153737596218</v>
      </c>
      <c r="Q75" s="144">
        <f t="shared" si="7"/>
        <v>14.764718190827637</v>
      </c>
      <c r="R75" s="144">
        <f t="shared" si="14"/>
        <v>0</v>
      </c>
      <c r="S75" s="144">
        <f t="shared" si="15"/>
        <v>0</v>
      </c>
    </row>
    <row r="76" spans="10:19" ht="12.75">
      <c r="J76" s="144">
        <f t="shared" si="16"/>
        <v>27.5422870333818</v>
      </c>
      <c r="K76" s="146" t="str">
        <f t="shared" si="9"/>
        <v>173.053293214267i</v>
      </c>
      <c r="L76" s="144" t="str">
        <f t="shared" si="10"/>
        <v>0.254919846151936-4.00934450359483i</v>
      </c>
      <c r="M76" s="144" t="str">
        <f>IMPRODUCT(-1,IMPRODUCT(IMDIV(Fv_Co,K76),IMDIV(IMSUM(1,IMDIV(K76,Fv_fcz)),IMSUM(1,IMDIV(K76,Fv_fcp)))))</f>
        <v>-0.0381194571470949+0.0156336506718156i</v>
      </c>
      <c r="N76" s="144" t="str">
        <f t="shared" si="11"/>
        <v>0.0529632852408327+0.156819363816776i</v>
      </c>
      <c r="O76" s="144">
        <f t="shared" si="12"/>
        <v>-15.622902936682749</v>
      </c>
      <c r="P76" s="144">
        <f t="shared" si="13"/>
        <v>71.33840810469509</v>
      </c>
      <c r="Q76" s="144">
        <f t="shared" si="7"/>
        <v>15.622902936682749</v>
      </c>
      <c r="R76" s="144">
        <f t="shared" si="14"/>
        <v>0</v>
      </c>
      <c r="S76" s="144">
        <f t="shared" si="15"/>
        <v>0</v>
      </c>
    </row>
    <row r="77" spans="10:19" ht="12.75">
      <c r="J77" s="144">
        <f t="shared" si="16"/>
        <v>30.199517204020314</v>
      </c>
      <c r="K77" s="146" t="str">
        <f t="shared" si="9"/>
        <v>189.749162780218i</v>
      </c>
      <c r="L77" s="144" t="str">
        <f t="shared" si="10"/>
        <v>0.212176815426929-3.65904418401434i</v>
      </c>
      <c r="M77" s="144" t="str">
        <f>IMPRODUCT(-1,IMPRODUCT(IMDIV(Fv_Co,K77),IMDIV(IMSUM(1,IMDIV(K77,Fv_fcz)),IMSUM(1,IMDIV(K77,Fv_fcp)))))</f>
        <v>-0.037887244710574+0.0154560876097774i</v>
      </c>
      <c r="N77" s="144" t="str">
        <f t="shared" si="11"/>
        <v>0.0485157125481817+0.141910525854556i</v>
      </c>
      <c r="O77" s="144">
        <f t="shared" si="12"/>
        <v>-16.47964747886309</v>
      </c>
      <c r="P77" s="144">
        <f t="shared" si="13"/>
        <v>71.12570565457783</v>
      </c>
      <c r="Q77" s="144">
        <f t="shared" si="7"/>
        <v>16.47964747886309</v>
      </c>
      <c r="R77" s="144">
        <f t="shared" si="14"/>
        <v>0</v>
      </c>
      <c r="S77" s="144">
        <f t="shared" si="15"/>
        <v>0</v>
      </c>
    </row>
    <row r="78" spans="10:19" ht="12.75">
      <c r="J78" s="144">
        <f t="shared" si="16"/>
        <v>33.113112148259276</v>
      </c>
      <c r="K78" s="146" t="str">
        <f t="shared" si="9"/>
        <v>208.055819724933i</v>
      </c>
      <c r="L78" s="144" t="str">
        <f t="shared" si="10"/>
        <v>0.176580543594851-3.33897045664835i</v>
      </c>
      <c r="M78" s="144" t="str">
        <f>IMPRODUCT(-1,IMPRODUCT(IMDIV(Fv_Co,K78),IMDIV(IMSUM(1,IMDIV(K78,Fv_fcz)),IMSUM(1,IMDIV(K78,Fv_fcp)))))</f>
        <v>-0.037611782087097+0.015392237129856i</v>
      </c>
      <c r="N78" s="144" t="str">
        <f t="shared" si="11"/>
        <v>0.0447527161118043+0.128302598810243i</v>
      </c>
      <c r="O78" s="144">
        <f t="shared" si="12"/>
        <v>-17.336656831127385</v>
      </c>
      <c r="P78" s="144">
        <f t="shared" si="13"/>
        <v>70.77092187782243</v>
      </c>
      <c r="Q78" s="144">
        <f t="shared" si="7"/>
        <v>17.336656831127385</v>
      </c>
      <c r="R78" s="144">
        <f t="shared" si="14"/>
        <v>0</v>
      </c>
      <c r="S78" s="144">
        <f t="shared" si="15"/>
        <v>0</v>
      </c>
    </row>
    <row r="79" spans="10:19" ht="12.75">
      <c r="J79" s="144">
        <f t="shared" si="16"/>
        <v>36.30780547701032</v>
      </c>
      <c r="K79" s="146" t="str">
        <f aca="true" t="shared" si="17" ref="K79:K110">COMPLEX(0,2*PI()*J79)</f>
        <v>228.128669909086i</v>
      </c>
      <c r="L79" s="144" t="str">
        <f aca="true" t="shared" si="18" ref="L79:L110">IMDIV(F2_Num,IMSUM(1,IMDIV(K79,F2_Dem)))</f>
        <v>0.146942245594942-3.04660674669091i</v>
      </c>
      <c r="M79" s="144" t="str">
        <f>IMPRODUCT(-1,IMPRODUCT(IMDIV(Fv_Co,K79),IMDIV(IMSUM(1,IMDIV(K79,Fv_fcz)),IMSUM(1,IMDIV(K79,Fv_fcp)))))</f>
        <v>-0.0372858599790836+0.0154364937299688i</v>
      </c>
      <c r="N79" s="144" t="str">
        <f aca="true" t="shared" si="19" ref="N79:N110">IMPRODUCT(L79,M79)</f>
        <v>0.0415500579487098+0.115863625621243i</v>
      </c>
      <c r="O79" s="144">
        <f aca="true" t="shared" si="20" ref="O79:O110">20*LOG10(IMABS(N79))</f>
        <v>-18.195648057153534</v>
      </c>
      <c r="P79" s="144">
        <f aca="true" t="shared" si="21" ref="P79:P110">(180/PI())*IMARGUMENT(N79)</f>
        <v>70.27156967336101</v>
      </c>
      <c r="Q79" s="144">
        <f t="shared" si="7"/>
        <v>18.195648057153534</v>
      </c>
      <c r="R79" s="144">
        <f aca="true" t="shared" si="22" ref="R79:R110">IF(Q79=Min_GL,J79,0)</f>
        <v>0</v>
      </c>
      <c r="S79" s="144">
        <f aca="true" t="shared" si="23" ref="S79:S110">IF(Q79=Min_GL,P79,0)</f>
        <v>0</v>
      </c>
    </row>
    <row r="80" spans="10:19" ht="12.75">
      <c r="J80" s="144">
        <f t="shared" si="16"/>
        <v>39.81071705534993</v>
      </c>
      <c r="K80" s="146" t="str">
        <f t="shared" si="17"/>
        <v>250.138112470458i</v>
      </c>
      <c r="L80" s="144" t="str">
        <f t="shared" si="18"/>
        <v>0.122268976860229-2.77962369412744i</v>
      </c>
      <c r="M80" s="144" t="str">
        <f>IMPRODUCT(-1,IMPRODUCT(IMDIV(Fv_Co,K80),IMDIV(IMSUM(1,IMDIV(K80,Fv_fcz)),IMSUM(1,IMDIV(K80,Fv_fcp)))))</f>
        <v>-0.0369014161076199+0.0155828275877576i</v>
      </c>
      <c r="N80" s="144" t="str">
        <f t="shared" si="19"/>
        <v>0.0388024983922615+0.104477346945341i</v>
      </c>
      <c r="O80" s="144">
        <f t="shared" si="20"/>
        <v>-19.05838196847966</v>
      </c>
      <c r="P80" s="144">
        <f t="shared" si="21"/>
        <v>69.62519047436878</v>
      </c>
      <c r="Q80" s="144">
        <f aca="true" t="shared" si="24" ref="Q80:Q90">ABS(O80)</f>
        <v>19.05838196847966</v>
      </c>
      <c r="R80" s="144">
        <f t="shared" si="22"/>
        <v>0</v>
      </c>
      <c r="S80" s="144">
        <f t="shared" si="23"/>
        <v>0</v>
      </c>
    </row>
    <row r="81" spans="10:19" ht="12.75">
      <c r="J81" s="144">
        <f t="shared" si="16"/>
        <v>43.651583224016825</v>
      </c>
      <c r="K81" s="146" t="str">
        <f t="shared" si="17"/>
        <v>274.270986348269i</v>
      </c>
      <c r="L81" s="144" t="str">
        <f t="shared" si="18"/>
        <v>0.101731957298776-2.53587082544977i</v>
      </c>
      <c r="M81" s="144" t="str">
        <f>IMPRODUCT(-1,IMPRODUCT(IMDIV(Fv_Co,K81),IMDIV(IMSUM(1,IMDIV(K81,Fv_fcz)),IMSUM(1,IMDIV(K81,Fv_fcp)))))</f>
        <v>-0.0364495796173243+0.015824442857433i</v>
      </c>
      <c r="N81" s="144" t="str">
        <f t="shared" si="19"/>
        <v>0.0364206558939734+0.0940412770965306i</v>
      </c>
      <c r="O81" s="144">
        <f t="shared" si="20"/>
        <v>-19.926693973193473</v>
      </c>
      <c r="P81" s="144">
        <f t="shared" si="21"/>
        <v>68.82942527202893</v>
      </c>
      <c r="Q81" s="144">
        <f t="shared" si="24"/>
        <v>19.926693973193473</v>
      </c>
      <c r="R81" s="144">
        <f t="shared" si="22"/>
        <v>0</v>
      </c>
      <c r="S81" s="144">
        <f t="shared" si="23"/>
        <v>0</v>
      </c>
    </row>
    <row r="82" spans="10:19" ht="12.75">
      <c r="J82" s="144">
        <f t="shared" si="16"/>
        <v>47.86300923226409</v>
      </c>
      <c r="K82" s="146" t="str">
        <f t="shared" si="17"/>
        <v>300.732156365563i</v>
      </c>
      <c r="L82" s="144" t="str">
        <f t="shared" si="18"/>
        <v>0.0846398364697858-2.31336703444172i</v>
      </c>
      <c r="M82" s="144" t="str">
        <f>IMPRODUCT(-1,IMPRODUCT(IMDIV(Fv_Co,K82),IMDIV(IMSUM(1,IMDIV(K82,Fv_fcz)),IMSUM(1,IMDIV(K82,Fv_fcp)))))</f>
        <v>-0.0359207885252035+0.0161534003620966i</v>
      </c>
      <c r="N82" s="144" t="str">
        <f t="shared" si="19"/>
        <v>0.0343284142251742+0.084465189190437i</v>
      </c>
      <c r="O82" s="144">
        <f t="shared" si="20"/>
        <v>-20.8025223935676</v>
      </c>
      <c r="P82" s="144">
        <f t="shared" si="21"/>
        <v>67.88214973813322</v>
      </c>
      <c r="Q82" s="144">
        <f t="shared" si="24"/>
        <v>20.8025223935676</v>
      </c>
      <c r="R82" s="144">
        <f t="shared" si="22"/>
        <v>0</v>
      </c>
      <c r="S82" s="144">
        <f t="shared" si="23"/>
        <v>0</v>
      </c>
    </row>
    <row r="83" spans="10:19" ht="12.75">
      <c r="J83" s="144">
        <f t="shared" si="16"/>
        <v>52.48074602497754</v>
      </c>
      <c r="K83" s="146" t="str">
        <f t="shared" si="17"/>
        <v>329.746252333962i</v>
      </c>
      <c r="L83" s="144" t="str">
        <f t="shared" si="18"/>
        <v>0.0704161865196667-2.11029042567614i</v>
      </c>
      <c r="M83" s="144" t="str">
        <f>IMPRODUCT(-1,IMPRODUCT(IMDIV(Fv_Co,K83),IMDIV(IMSUM(1,IMDIV(K83,Fv_fcz)),IMSUM(1,IMDIV(K83,Fv_fcp)))))</f>
        <v>-0.0353050052529464+0.0165602170503014i</v>
      </c>
      <c r="N83" s="144" t="str">
        <f t="shared" si="19"/>
        <v>0.0324608236534005+0.0756699218963588i</v>
      </c>
      <c r="O83" s="144">
        <f t="shared" si="20"/>
        <v>-21.68793228771274</v>
      </c>
      <c r="P83" s="144">
        <f t="shared" si="21"/>
        <v>66.78167350264339</v>
      </c>
      <c r="Q83" s="144">
        <f t="shared" si="24"/>
        <v>21.68793228771274</v>
      </c>
      <c r="R83" s="144">
        <f t="shared" si="22"/>
        <v>0</v>
      </c>
      <c r="S83" s="144">
        <f t="shared" si="23"/>
        <v>0</v>
      </c>
    </row>
    <row r="84" spans="10:19" ht="12.75">
      <c r="J84" s="144">
        <f t="shared" si="16"/>
        <v>57.54399373371601</v>
      </c>
      <c r="K84" s="146" t="str">
        <f t="shared" si="17"/>
        <v>361.559575944119i</v>
      </c>
      <c r="L84" s="144" t="str">
        <f t="shared" si="18"/>
        <v>0.0585805938558141-1.92496792297727i</v>
      </c>
      <c r="M84" s="144" t="str">
        <f>IMPRODUCT(-1,IMPRODUCT(IMDIV(Fv_Co,K84),IMDIV(IMSUM(1,IMDIV(K84,Fv_fcz)),IMSUM(1,IMDIV(K84,Fv_fcp)))))</f>
        <v>-0.0345920563497684+0.0170334657021925i</v>
      </c>
      <c r="N84" s="144" t="str">
        <f t="shared" si="19"/>
        <v>0.0307624518901908+0.0675864293993834i</v>
      </c>
      <c r="O84" s="144">
        <f t="shared" si="20"/>
        <v>-22.585132421427268</v>
      </c>
      <c r="P84" s="144">
        <f t="shared" si="21"/>
        <v>65.52700191549948</v>
      </c>
      <c r="Q84" s="144">
        <f t="shared" si="24"/>
        <v>22.585132421427268</v>
      </c>
      <c r="R84" s="144">
        <f t="shared" si="22"/>
        <v>0</v>
      </c>
      <c r="S84" s="144">
        <f t="shared" si="23"/>
        <v>0</v>
      </c>
    </row>
    <row r="85" spans="10:19" ht="12.75">
      <c r="J85" s="144">
        <f t="shared" si="16"/>
        <v>63.09573444801968</v>
      </c>
      <c r="K85" s="146" t="str">
        <f t="shared" si="17"/>
        <v>396.442191629502i</v>
      </c>
      <c r="L85" s="144" t="str">
        <f t="shared" si="18"/>
        <v>0.0487328014247775-1.75586492974983i</v>
      </c>
      <c r="M85" s="144" t="str">
        <f>IMPRODUCT(-1,IMPRODUCT(IMDIV(Fv_Co,K85),IMDIV(IMSUM(1,IMDIV(K85,Fv_fcz)),IMSUM(1,IMDIV(K85,Fv_fcp)))))</f>
        <v>-0.0337721194316349+0.01755941243397i</v>
      </c>
      <c r="N85" s="144" t="str">
        <f t="shared" si="19"/>
        <v>0.0291861464898653+0.0601549994726109i</v>
      </c>
      <c r="O85" s="144">
        <f t="shared" si="20"/>
        <v>-23.49648261870437</v>
      </c>
      <c r="P85" s="144">
        <f t="shared" si="21"/>
        <v>64.11815518090103</v>
      </c>
      <c r="Q85" s="144">
        <f t="shared" si="24"/>
        <v>23.49648261870437</v>
      </c>
      <c r="R85" s="144">
        <f t="shared" si="22"/>
        <v>0</v>
      </c>
      <c r="S85" s="144">
        <f t="shared" si="23"/>
        <v>0</v>
      </c>
    </row>
    <row r="86" spans="10:19" ht="12.75">
      <c r="J86" s="144">
        <f t="shared" si="16"/>
        <v>69.18309709189404</v>
      </c>
      <c r="K86" s="146" t="str">
        <f t="shared" si="17"/>
        <v>434.690219152967i</v>
      </c>
      <c r="L86" s="144" t="str">
        <f t="shared" si="18"/>
        <v>0.0405394282540352-1.60157524085844i</v>
      </c>
      <c r="M86" s="144" t="str">
        <f>IMPRODUCT(-1,IMPRODUCT(IMDIV(Fv_Co,K86),IMDIV(IMSUM(1,IMDIV(K86,Fv_fcz)),IMSUM(1,IMDIV(K86,Fv_fcp)))))</f>
        <v>-0.0328363707748557+0.018121745344975i</v>
      </c>
      <c r="N86" s="144" t="str">
        <f t="shared" si="19"/>
        <v>0.0276921709685035+0.0533245636279071i</v>
      </c>
      <c r="O86" s="144">
        <f t="shared" si="20"/>
        <v>-24.42448839244525</v>
      </c>
      <c r="P86" s="144">
        <f t="shared" si="21"/>
        <v>62.55653422670355</v>
      </c>
      <c r="Q86" s="144">
        <f t="shared" si="24"/>
        <v>24.42448839244525</v>
      </c>
      <c r="R86" s="144">
        <f t="shared" si="22"/>
        <v>0</v>
      </c>
      <c r="S86" s="144">
        <f t="shared" si="23"/>
        <v>0</v>
      </c>
    </row>
    <row r="87" spans="10:19" ht="12.75">
      <c r="J87" s="144">
        <f t="shared" si="16"/>
        <v>75.85775750291882</v>
      </c>
      <c r="K87" s="146" t="str">
        <f t="shared" si="17"/>
        <v>476.628347377932i</v>
      </c>
      <c r="L87" s="144" t="str">
        <f t="shared" si="18"/>
        <v>0.0337228603959428-1.46081134031876i</v>
      </c>
      <c r="M87" s="144" t="str">
        <f>IMPRODUCT(-1,IMPRODUCT(IMDIV(Fv_Co,K87),IMDIV(IMSUM(1,IMDIV(K87,Fv_fcz)),IMSUM(1,IMDIV(K87,Fv_fcp)))))</f>
        <v>-0.0317777886217816+0.0187014624113451i</v>
      </c>
      <c r="N87" s="144" t="str">
        <f t="shared" si="19"/>
        <v>0.0262476704416538+0.0470520207950488i</v>
      </c>
      <c r="O87" s="144">
        <f t="shared" si="20"/>
        <v>-25.371779686843556</v>
      </c>
      <c r="P87" s="144">
        <f t="shared" si="21"/>
        <v>60.84531497664651</v>
      </c>
      <c r="Q87" s="144">
        <f t="shared" si="24"/>
        <v>25.371779686843556</v>
      </c>
      <c r="R87" s="144">
        <f t="shared" si="22"/>
        <v>0</v>
      </c>
      <c r="S87" s="144">
        <f t="shared" si="23"/>
        <v>0</v>
      </c>
    </row>
    <row r="88" spans="10:19" ht="12.75">
      <c r="J88" s="144">
        <f t="shared" si="16"/>
        <v>83.17637711026758</v>
      </c>
      <c r="K88" s="146" t="str">
        <f t="shared" si="17"/>
        <v>522.612590563662i</v>
      </c>
      <c r="L88" s="144" t="str">
        <f t="shared" si="18"/>
        <v>0.0280519672270031-1.33239517041486i</v>
      </c>
      <c r="M88" s="144" t="str">
        <f>IMPRODUCT(-1,IMPRODUCT(IMDIV(Fv_Co,K88),IMDIV(IMSUM(1,IMDIV(K88,Fv_fcz)),IMSUM(1,IMDIV(K88,Fv_fcp)))))</f>
        <v>-0.0305920788292967+0.0192769957993128i</v>
      </c>
      <c r="N88" s="144" t="str">
        <f t="shared" si="19"/>
        <v>0.0248264081103866+0.041301495739503i</v>
      </c>
      <c r="O88" s="144">
        <f t="shared" si="20"/>
        <v>-26.34107095167405</v>
      </c>
      <c r="P88" s="144">
        <f t="shared" si="21"/>
        <v>58.989843255288044</v>
      </c>
      <c r="Q88" s="144">
        <f t="shared" si="24"/>
        <v>26.34107095167405</v>
      </c>
      <c r="R88" s="144">
        <f t="shared" si="22"/>
        <v>0</v>
      </c>
      <c r="S88" s="144">
        <f t="shared" si="23"/>
        <v>0</v>
      </c>
    </row>
    <row r="89" spans="10:19" ht="12.75">
      <c r="J89" s="144">
        <f t="shared" si="16"/>
        <v>91.20108393559151</v>
      </c>
      <c r="K89" s="146" t="str">
        <f t="shared" si="17"/>
        <v>573.033310582961i</v>
      </c>
      <c r="L89" s="144" t="str">
        <f t="shared" si="18"/>
        <v>0.0233343493828503-1.21524942204423i</v>
      </c>
      <c r="M89" s="144" t="str">
        <f>IMPRODUCT(-1,IMPRODUCT(IMDIV(Fv_Co,K89),IMDIV(IMSUM(1,IMDIV(K89,Fv_fcz)),IMSUM(1,IMDIV(K89,Fv_fcp)))))</f>
        <v>-0.0292786522051043+0.0198246468535121i</v>
      </c>
      <c r="N89" s="144" t="str">
        <f t="shared" si="19"/>
        <v>0.0234086923309487+0.0360434604065585i</v>
      </c>
      <c r="O89" s="144">
        <f t="shared" si="20"/>
        <v>-27.335100819840747</v>
      </c>
      <c r="P89" s="144">
        <f t="shared" si="21"/>
        <v>56.99799255210499</v>
      </c>
      <c r="Q89" s="144">
        <f t="shared" si="24"/>
        <v>27.335100819840747</v>
      </c>
      <c r="R89" s="144">
        <f t="shared" si="22"/>
        <v>0</v>
      </c>
      <c r="S89" s="144">
        <f t="shared" si="23"/>
        <v>0</v>
      </c>
    </row>
    <row r="90" spans="10:19" ht="12.75">
      <c r="J90" s="144">
        <f aca="true" t="shared" si="25" ref="J90:J133">10^(4/100)*J89</f>
        <v>100.0000000000006</v>
      </c>
      <c r="K90" s="146" t="str">
        <f t="shared" si="17"/>
        <v>628.318530717962i</v>
      </c>
      <c r="L90" s="144" t="str">
        <f t="shared" si="18"/>
        <v>0.0194098699292387-1.10838937004306i</v>
      </c>
      <c r="M90" s="144" t="str">
        <f>IMPRODUCT(-1,IMPRODUCT(IMDIV(Fv_Co,K90),IMDIV(IMSUM(1,IMDIV(K90,Fv_fcz)),IMSUM(1,IMDIV(K90,Fv_fcp)))))</f>
        <v>-0.0278415418822579+0.0203193844629091i</v>
      </c>
      <c r="N90" s="144" t="str">
        <f t="shared" si="19"/>
        <v>0.0219813890379425+0.0312536656773706i</v>
      </c>
      <c r="O90" s="144">
        <f t="shared" si="20"/>
        <v>-28.356551512785067</v>
      </c>
      <c r="P90" s="144">
        <f t="shared" si="21"/>
        <v>54.88043837405065</v>
      </c>
      <c r="Q90" s="144">
        <f t="shared" si="24"/>
        <v>28.356551512785067</v>
      </c>
      <c r="R90" s="144">
        <f t="shared" si="22"/>
        <v>0</v>
      </c>
      <c r="S90" s="144">
        <f t="shared" si="23"/>
        <v>0</v>
      </c>
    </row>
    <row r="91" spans="10:19" ht="12.75">
      <c r="J91" s="144">
        <f t="shared" si="25"/>
        <v>109.64781961431916</v>
      </c>
      <c r="K91" s="146" t="str">
        <f t="shared" si="17"/>
        <v>688.937569164968i</v>
      </c>
      <c r="L91" s="144" t="str">
        <f t="shared" si="18"/>
        <v>0.0161452593154168-1.01091525858175i</v>
      </c>
      <c r="M91" s="144" t="str">
        <f>IMPRODUCT(-1,IMPRODUCT(IMDIV(Fv_Co,K91),IMDIV(IMSUM(1,IMDIV(K91,Fv_fcz)),IMSUM(1,IMDIV(K91,Fv_fcp)))))</f>
        <v>-0.0262901143199768+0.0207360149208898i</v>
      </c>
      <c r="N91" s="144" t="str">
        <f t="shared" si="19"/>
        <v>0.0205378931725784+0.0269118660539892i</v>
      </c>
      <c r="O91" s="144">
        <f t="shared" si="20"/>
        <v>-29.407950739010143</v>
      </c>
      <c r="P91" s="144">
        <f t="shared" si="21"/>
        <v>52.65079877575111</v>
      </c>
      <c r="Q91" s="144">
        <f>ABS(O91)</f>
        <v>29.407950739010143</v>
      </c>
      <c r="R91" s="144">
        <f t="shared" si="22"/>
        <v>0</v>
      </c>
      <c r="S91" s="144">
        <f t="shared" si="23"/>
        <v>0</v>
      </c>
    </row>
    <row r="92" spans="10:19" ht="12.75">
      <c r="J92" s="144">
        <f t="shared" si="25"/>
        <v>120.22644346174202</v>
      </c>
      <c r="K92" s="146" t="str">
        <f t="shared" si="17"/>
        <v>755.405023093275i</v>
      </c>
      <c r="L92" s="144" t="str">
        <f t="shared" si="18"/>
        <v>0.0134296179201723-0.922005228615634i</v>
      </c>
      <c r="M92" s="144" t="str">
        <f>IMPRODUCT(-1,IMPRODUCT(IMDIV(Fv_Co,K92),IMDIV(IMSUM(1,IMDIV(K92,Fv_fcz)),IMSUM(1,IMDIV(K92,Fv_fcp)))))</f>
        <v>-0.0246394127213689+0.0210506651646307i</v>
      </c>
      <c r="N92" s="144" t="str">
        <f t="shared" si="19"/>
        <v>0.0190779254490011+0.0230003697492472i</v>
      </c>
      <c r="O92" s="144">
        <f t="shared" si="20"/>
        <v>-30.49156201861465</v>
      </c>
      <c r="P92" s="144">
        <f t="shared" si="21"/>
        <v>50.32559396720034</v>
      </c>
      <c r="Q92" s="144">
        <f aca="true" t="shared" si="26" ref="Q92:Q115">ABS(O92)</f>
        <v>30.49156201861465</v>
      </c>
      <c r="R92" s="144">
        <f t="shared" si="22"/>
        <v>0</v>
      </c>
      <c r="S92" s="144">
        <f t="shared" si="23"/>
        <v>0</v>
      </c>
    </row>
    <row r="93" spans="10:19" ht="12.75">
      <c r="J93" s="144">
        <f t="shared" si="25"/>
        <v>131.82567385564153</v>
      </c>
      <c r="K93" s="146" t="str">
        <f t="shared" si="17"/>
        <v>828.285137078815i</v>
      </c>
      <c r="L93" s="144" t="str">
        <f t="shared" si="18"/>
        <v>0.0111706682731041-0.840908770424549i</v>
      </c>
      <c r="M93" s="144" t="str">
        <f>IMPRODUCT(-1,IMPRODUCT(IMDIV(Fv_Co,K93),IMDIV(IMSUM(1,IMDIV(K93,Fv_fcz)),IMSUM(1,IMDIV(K93,Fv_fcp)))))</f>
        <v>-0.0229099906057133+0.0212424436426838i</v>
      </c>
      <c r="N93" s="144" t="str">
        <f t="shared" si="19"/>
        <v>0.0176070372591857+0.0195025043219309i</v>
      </c>
      <c r="O93" s="144">
        <f t="shared" si="20"/>
        <v>-31.609272511557975</v>
      </c>
      <c r="P93" s="144">
        <f t="shared" si="21"/>
        <v>47.923990996736514</v>
      </c>
      <c r="Q93" s="144">
        <f t="shared" si="26"/>
        <v>31.609272511557975</v>
      </c>
      <c r="R93" s="144">
        <f t="shared" si="22"/>
        <v>0</v>
      </c>
      <c r="S93" s="144">
        <f t="shared" si="23"/>
        <v>0</v>
      </c>
    </row>
    <row r="94" spans="10:19" ht="12.75">
      <c r="J94" s="144">
        <f t="shared" si="25"/>
        <v>144.54397707459367</v>
      </c>
      <c r="K94" s="146" t="str">
        <f t="shared" si="17"/>
        <v>908.19659299639i</v>
      </c>
      <c r="L94" s="144" t="str">
        <f t="shared" si="18"/>
        <v>0.00929163296935136-0.766940678408643i</v>
      </c>
      <c r="M94" s="144" t="str">
        <f>IMPRODUCT(-1,IMPRODUCT(IMDIV(Fv_Co,K94),IMDIV(IMSUM(1,IMDIV(K94,Fv_fcz)),IMSUM(1,IMDIV(K94,Fv_fcp)))))</f>
        <v>-0.0211271535776551+0.0212950734415986i</v>
      </c>
      <c r="N94" s="144" t="str">
        <f t="shared" si="19"/>
        <v>0.0161357523153308+0.0164011395041651i</v>
      </c>
      <c r="O94" s="144">
        <f t="shared" si="20"/>
        <v>-32.7624897696449</v>
      </c>
      <c r="P94" s="144">
        <f t="shared" si="21"/>
        <v>45.467322716430886</v>
      </c>
      <c r="Q94" s="144">
        <f t="shared" si="26"/>
        <v>32.7624897696449</v>
      </c>
      <c r="R94" s="144">
        <f t="shared" si="22"/>
        <v>0</v>
      </c>
      <c r="S94" s="144">
        <f t="shared" si="23"/>
        <v>0</v>
      </c>
    </row>
    <row r="95" spans="10:19" ht="12.75">
      <c r="J95" s="144">
        <f t="shared" si="25"/>
        <v>158.48931924611236</v>
      </c>
      <c r="K95" s="146" t="str">
        <f t="shared" si="17"/>
        <v>995.817762032068i</v>
      </c>
      <c r="L95" s="144" t="str">
        <f t="shared" si="18"/>
        <v>0.00772863449618424-0.69947548171205i</v>
      </c>
      <c r="M95" s="144" t="str">
        <f>IMPRODUCT(-1,IMPRODUCT(IMDIV(Fv_Co,K95),IMDIV(IMSUM(1,IMDIV(K95,Fv_fcz)),IMSUM(1,IMDIV(K95,Fv_fcp)))))</f>
        <v>-0.0193196240319969+0.0211982548989073i</v>
      </c>
      <c r="N95" s="144" t="str">
        <f t="shared" si="19"/>
        <v>0.014678345244121+0.0136774368903473i</v>
      </c>
      <c r="O95" s="144">
        <f t="shared" si="20"/>
        <v>-33.9520595558912</v>
      </c>
      <c r="P95" s="144">
        <f t="shared" si="21"/>
        <v>42.97840087426453</v>
      </c>
      <c r="Q95" s="144">
        <f t="shared" si="26"/>
        <v>33.9520595558912</v>
      </c>
      <c r="R95" s="144">
        <f t="shared" si="22"/>
        <v>0</v>
      </c>
      <c r="S95" s="144">
        <f t="shared" si="23"/>
        <v>0</v>
      </c>
    </row>
    <row r="96" spans="10:19" ht="12.75">
      <c r="J96" s="144">
        <f t="shared" si="25"/>
        <v>173.78008287493867</v>
      </c>
      <c r="K96" s="146" t="str">
        <f t="shared" si="17"/>
        <v>1091.89246340027i</v>
      </c>
      <c r="L96" s="144" t="str">
        <f t="shared" si="18"/>
        <v>0.00642853019372034-0.637942322306409i</v>
      </c>
      <c r="M96" s="144" t="str">
        <f>IMPRODUCT(-1,IMPRODUCT(IMDIV(Fv_Co,K96),IMDIV(IMSUM(1,IMDIV(K96,Fv_fcz)),IMSUM(1,IMDIV(K96,Fv_fcp)))))</f>
        <v>-0.0175177563451505+0.0209485296705646i</v>
      </c>
      <c r="N96" s="144" t="str">
        <f t="shared" si="19"/>
        <v>0.0132513402413537+0.0113099864199244i</v>
      </c>
      <c r="O96" s="144">
        <f t="shared" si="20"/>
        <v>-35.17821542119546</v>
      </c>
      <c r="P96" s="144">
        <f t="shared" si="21"/>
        <v>40.48067547782434</v>
      </c>
      <c r="Q96" s="144">
        <f t="shared" si="26"/>
        <v>35.17821542119546</v>
      </c>
      <c r="R96" s="144">
        <f t="shared" si="22"/>
        <v>0</v>
      </c>
      <c r="S96" s="144">
        <f t="shared" si="23"/>
        <v>0</v>
      </c>
    </row>
    <row r="97" spans="10:19" ht="12.75">
      <c r="J97" s="144">
        <f t="shared" si="25"/>
        <v>190.54607179632598</v>
      </c>
      <c r="K97" s="146" t="str">
        <f t="shared" si="17"/>
        <v>1197.23627865146i</v>
      </c>
      <c r="L97" s="144" t="str">
        <f t="shared" si="18"/>
        <v>0.00534710985532952-0.581820251418047i</v>
      </c>
      <c r="M97" s="144" t="str">
        <f>IMPRODUCT(-1,IMPRODUCT(IMDIV(Fv_Co,K97),IMDIV(IMSUM(1,IMDIV(K97,Fv_fcz)),IMSUM(1,IMDIV(K97,Fv_fcp)))))</f>
        <v>-0.0157515277593893+0.0205494905489023i</v>
      </c>
      <c r="N97" s="144" t="str">
        <f t="shared" si="19"/>
        <v>0.0118718846083564+0.00927443822462227i</v>
      </c>
      <c r="O97" s="144">
        <f t="shared" si="20"/>
        <v>-36.440567076701086</v>
      </c>
      <c r="P97" s="144">
        <f t="shared" si="21"/>
        <v>37.997318967740114</v>
      </c>
      <c r="Q97" s="144">
        <f t="shared" si="26"/>
        <v>36.440567076701086</v>
      </c>
      <c r="R97" s="144">
        <f t="shared" si="22"/>
        <v>0</v>
      </c>
      <c r="S97" s="144">
        <f t="shared" si="23"/>
        <v>0</v>
      </c>
    </row>
    <row r="98" spans="10:19" ht="12.75">
      <c r="J98" s="144">
        <f t="shared" si="25"/>
        <v>208.92961308540535</v>
      </c>
      <c r="K98" s="146" t="str">
        <f t="shared" si="17"/>
        <v>1312.74347517293i</v>
      </c>
      <c r="L98" s="144" t="str">
        <f t="shared" si="18"/>
        <v>0.0044475954507248-0.530633915277994i</v>
      </c>
      <c r="M98" s="144" t="str">
        <f>IMPRODUCT(-1,IMPRODUCT(IMDIV(Fv_Co,K98),IMDIV(IMSUM(1,IMDIV(K98,Fv_fcz)),IMSUM(1,IMDIV(K98,Fv_fcp)))))</f>
        <v>-0.01404858163894+0.0200112965611165i</v>
      </c>
      <c r="N98" s="144" t="str">
        <f t="shared" si="19"/>
        <v>0.0105561902362278+0.0075436560307216i</v>
      </c>
      <c r="O98" s="144">
        <f t="shared" si="20"/>
        <v>-37.73812938724271</v>
      </c>
      <c r="P98" s="144">
        <f t="shared" si="21"/>
        <v>35.55032725738582</v>
      </c>
      <c r="Q98" s="144">
        <f t="shared" si="26"/>
        <v>37.73812938724271</v>
      </c>
      <c r="R98" s="144">
        <f t="shared" si="22"/>
        <v>0</v>
      </c>
      <c r="S98" s="144">
        <f t="shared" si="23"/>
        <v>0</v>
      </c>
    </row>
    <row r="99" spans="10:19" ht="12.75">
      <c r="J99" s="144">
        <f t="shared" si="25"/>
        <v>229.08676527677886</v>
      </c>
      <c r="K99" s="146" t="str">
        <f t="shared" si="17"/>
        <v>1439.39459765636i</v>
      </c>
      <c r="L99" s="144" t="str">
        <f t="shared" si="18"/>
        <v>0.00369939248441561-0.483949601853221i</v>
      </c>
      <c r="M99" s="144" t="str">
        <f>IMPRODUCT(-1,IMPRODUCT(IMDIV(Fv_Co,K99),IMDIV(IMSUM(1,IMDIV(K99,Fv_fcz)),IMSUM(1,IMDIV(K99,Fv_fcp)))))</f>
        <v>-0.0124325876060811+0.0193495796550676i</v>
      </c>
      <c r="N99" s="144" t="str">
        <f t="shared" si="19"/>
        <v>0.00931822834894537+0.0060883275115208i</v>
      </c>
      <c r="O99" s="144">
        <f t="shared" si="20"/>
        <v>-39.069388186899204</v>
      </c>
      <c r="P99" s="144">
        <f t="shared" si="21"/>
        <v>33.15972655385666</v>
      </c>
      <c r="Q99" s="144">
        <f t="shared" si="26"/>
        <v>39.069388186899204</v>
      </c>
      <c r="R99" s="144">
        <f t="shared" si="22"/>
        <v>0</v>
      </c>
      <c r="S99" s="144">
        <f t="shared" si="23"/>
        <v>0</v>
      </c>
    </row>
    <row r="100" spans="10:19" ht="12.75">
      <c r="J100" s="144">
        <f t="shared" si="25"/>
        <v>251.18864315095973</v>
      </c>
      <c r="K100" s="146" t="str">
        <f t="shared" si="17"/>
        <v>1578.26479197649i</v>
      </c>
      <c r="L100" s="144" t="str">
        <f t="shared" si="18"/>
        <v>0.00307705089111861-0.441371621286906i</v>
      </c>
      <c r="M100" s="144" t="str">
        <f>IMPRODUCT(-1,IMPRODUCT(IMDIV(Fv_Co,K100),IMDIV(IMSUM(1,IMDIV(K100,Fv_fcz)),IMSUM(1,IMDIV(K100,Fv_fcp)))))</f>
        <v>-0.0109221114409026+0.0185839315563827i</v>
      </c>
      <c r="N100" s="144" t="str">
        <f t="shared" si="19"/>
        <v>0.0081688121081834+0.0048778937377035i</v>
      </c>
      <c r="O100" s="144">
        <f t="shared" si="20"/>
        <v>-40.432394372844854</v>
      </c>
      <c r="P100" s="144">
        <f t="shared" si="21"/>
        <v>30.84295597779414</v>
      </c>
      <c r="Q100" s="144">
        <f t="shared" si="26"/>
        <v>40.432394372844854</v>
      </c>
      <c r="R100" s="144">
        <f t="shared" si="22"/>
        <v>0</v>
      </c>
      <c r="S100" s="144">
        <f t="shared" si="23"/>
        <v>0</v>
      </c>
    </row>
    <row r="101" spans="10:19" ht="12.75">
      <c r="J101" s="144">
        <f t="shared" si="25"/>
        <v>275.42287033381854</v>
      </c>
      <c r="K101" s="146" t="str">
        <f t="shared" si="17"/>
        <v>1730.53293214268i</v>
      </c>
      <c r="L101" s="144" t="str">
        <f t="shared" si="18"/>
        <v>0.00255940037960037-0.402538994093588i</v>
      </c>
      <c r="M101" s="144" t="str">
        <f>IMPRODUCT(-1,IMPRODUCT(IMDIV(Fv_Co,K101),IMDIV(IMSUM(1,IMDIV(K101,Fv_fcz)),IMSUM(1,IMDIV(K101,Fv_fcp)))))</f>
        <v>-0.00953008041870619+0.0177362109556339i</v>
      </c>
      <c r="N101" s="144" t="str">
        <f t="shared" si="19"/>
        <v>0.00711512522567129+0.00388162305042951i</v>
      </c>
      <c r="O101" s="144">
        <f t="shared" si="20"/>
        <v>-41.82487486153938</v>
      </c>
      <c r="P101" s="144">
        <f t="shared" si="21"/>
        <v>28.614466575065443</v>
      </c>
      <c r="Q101" s="144">
        <f t="shared" si="26"/>
        <v>41.82487486153938</v>
      </c>
      <c r="R101" s="144">
        <f t="shared" si="22"/>
        <v>0</v>
      </c>
      <c r="S101" s="144">
        <f t="shared" si="23"/>
        <v>0</v>
      </c>
    </row>
    <row r="102" spans="10:19" ht="12.75">
      <c r="J102" s="144">
        <f t="shared" si="25"/>
        <v>301.9951720402037</v>
      </c>
      <c r="K102" s="146" t="str">
        <f t="shared" si="17"/>
        <v>1897.49162780218i</v>
      </c>
      <c r="L102" s="144" t="str">
        <f t="shared" si="18"/>
        <v>0.00212883098933551-0.367122422617385i</v>
      </c>
      <c r="M102" s="144" t="str">
        <f>IMPRODUCT(-1,IMPRODUCT(IMDIV(Fv_Co,K102),IMDIV(IMSUM(1,IMDIV(K102,Fv_fcz)),IMSUM(1,IMDIV(K102,Fv_fcp)))))</f>
        <v>-0.00826381967723198+0.0168289049749332i</v>
      </c>
      <c r="N102" s="144" t="str">
        <f t="shared" si="19"/>
        <v>0.00616067608897607+0.00306965939440584i</v>
      </c>
      <c r="O102" s="144">
        <f t="shared" si="20"/>
        <v>-43.24434838631433</v>
      </c>
      <c r="P102" s="144">
        <f t="shared" si="21"/>
        <v>26.48554487757103</v>
      </c>
      <c r="Q102" s="144">
        <f t="shared" si="26"/>
        <v>43.24434838631433</v>
      </c>
      <c r="R102" s="144">
        <f t="shared" si="22"/>
        <v>0</v>
      </c>
      <c r="S102" s="144">
        <f t="shared" si="23"/>
        <v>0</v>
      </c>
    </row>
    <row r="103" spans="10:19" ht="12.75">
      <c r="J103" s="144">
        <f t="shared" si="25"/>
        <v>331.1311214825934</v>
      </c>
      <c r="K103" s="146" t="str">
        <f t="shared" si="17"/>
        <v>2080.55819724933i</v>
      </c>
      <c r="L103" s="144" t="str">
        <f t="shared" si="18"/>
        <v>0.0017706945080711-0.334821522792687i</v>
      </c>
      <c r="M103" s="144" t="str">
        <f>IMPRODUCT(-1,IMPRODUCT(IMDIV(Fv_Co,K103),IMDIV(IMSUM(1,IMDIV(K103,Fv_fcz)),IMSUM(1,IMDIV(K103,Fv_fcp)))))</f>
        <v>-0.00712555044698335+0.0158837267186321i</v>
      </c>
      <c r="N103" s="144" t="str">
        <f t="shared" si="19"/>
        <v>0.00530559639451183+0.00241391287906346i</v>
      </c>
      <c r="O103" s="144">
        <f t="shared" si="20"/>
        <v>-44.68823553161059</v>
      </c>
      <c r="P103" s="144">
        <f t="shared" si="21"/>
        <v>24.464340864363784</v>
      </c>
      <c r="Q103" s="144">
        <f t="shared" si="26"/>
        <v>44.68823553161059</v>
      </c>
      <c r="R103" s="144">
        <f t="shared" si="22"/>
        <v>0</v>
      </c>
      <c r="S103" s="144">
        <f t="shared" si="23"/>
        <v>0</v>
      </c>
    </row>
    <row r="104" spans="10:19" ht="12.75">
      <c r="J104" s="144">
        <f t="shared" si="25"/>
        <v>363.0780547701039</v>
      </c>
      <c r="K104" s="146" t="str">
        <f t="shared" si="17"/>
        <v>2281.28669909086i</v>
      </c>
      <c r="L104" s="144" t="str">
        <f t="shared" si="18"/>
        <v>0.00147280647119083-0.305362294793628i</v>
      </c>
      <c r="M104" s="144" t="str">
        <f>IMPRODUCT(-1,IMPRODUCT(IMDIV(Fv_Co,K104),IMDIV(IMSUM(1,IMDIV(K104,Fv_fcz)),IMSUM(1,IMDIV(K104,Fv_fcp)))))</f>
        <v>-0.00611319622099478+0.0149205553876065i</v>
      </c>
      <c r="N104" s="144" t="str">
        <f t="shared" si="19"/>
        <v>0.00454717147780101+0.00188871471709533i</v>
      </c>
      <c r="O104" s="144">
        <f t="shared" si="20"/>
        <v>-46.15395514517226</v>
      </c>
      <c r="P104" s="144">
        <f t="shared" si="21"/>
        <v>22.556060700097643</v>
      </c>
      <c r="Q104" s="144">
        <f t="shared" si="26"/>
        <v>46.15395514517226</v>
      </c>
      <c r="R104" s="144">
        <f t="shared" si="22"/>
        <v>0</v>
      </c>
      <c r="S104" s="144">
        <f t="shared" si="23"/>
        <v>0</v>
      </c>
    </row>
    <row r="105" spans="10:19" ht="12.75">
      <c r="J105" s="144">
        <f t="shared" si="25"/>
        <v>398.1071705535001</v>
      </c>
      <c r="K105" s="146" t="str">
        <f t="shared" si="17"/>
        <v>2501.38112470459i</v>
      </c>
      <c r="L105" s="144" t="str">
        <f t="shared" si="18"/>
        <v>0.0012250318587954-0.278494812683453i</v>
      </c>
      <c r="M105" s="144" t="str">
        <f>IMPRODUCT(-1,IMPRODUCT(IMDIV(Fv_Co,K105),IMDIV(IMSUM(1,IMDIV(K105,Fv_fcz)),IMSUM(1,IMDIV(K105,Fv_fcp)))))</f>
        <v>-0.00522133787899682+0.0139567502033565i</v>
      </c>
      <c r="N105" s="144" t="str">
        <f t="shared" si="19"/>
        <v>0.00388048622830621+0.0014712129782126i</v>
      </c>
      <c r="O105" s="144">
        <f t="shared" si="20"/>
        <v>-47.63900251154391</v>
      </c>
      <c r="P105" s="144">
        <f t="shared" si="21"/>
        <v>20.763275489875465</v>
      </c>
      <c r="Q105" s="144">
        <f t="shared" si="26"/>
        <v>47.63900251154391</v>
      </c>
      <c r="R105" s="144">
        <f t="shared" si="22"/>
        <v>0</v>
      </c>
      <c r="S105" s="144">
        <f t="shared" si="23"/>
        <v>0</v>
      </c>
    </row>
    <row r="106" spans="10:19" ht="12.75">
      <c r="J106" s="144">
        <f t="shared" si="25"/>
        <v>436.5158322401691</v>
      </c>
      <c r="K106" s="146" t="str">
        <f t="shared" si="17"/>
        <v>2742.7098634827i</v>
      </c>
      <c r="L106" s="144" t="str">
        <f t="shared" si="18"/>
        <v>0.00101894043540158-0.253991114652138i</v>
      </c>
      <c r="M106" s="144" t="str">
        <f>IMPRODUCT(-1,IMPRODUCT(IMDIV(Fv_Co,K106),IMDIV(IMSUM(1,IMDIV(K106,Fv_fcz)),IMSUM(1,IMDIV(K106,Fv_fcp)))))</f>
        <v>-0.00444218270372272+0.0130068104974564i</v>
      </c>
      <c r="N106" s="144" t="str">
        <f t="shared" si="19"/>
        <v>0.00329908797673982+0.00114152810155845i</v>
      </c>
      <c r="O106" s="144">
        <f t="shared" si="20"/>
        <v>-49.14100769736329</v>
      </c>
      <c r="P106" s="144">
        <f t="shared" si="21"/>
        <v>19.086297282053817</v>
      </c>
      <c r="Q106" s="144">
        <f t="shared" si="26"/>
        <v>49.14100769736329</v>
      </c>
      <c r="R106" s="144">
        <f t="shared" si="22"/>
        <v>0</v>
      </c>
      <c r="S106" s="144">
        <f t="shared" si="23"/>
        <v>0</v>
      </c>
    </row>
    <row r="107" spans="10:19" ht="12.75">
      <c r="J107" s="144">
        <f t="shared" si="25"/>
        <v>478.6300923226418</v>
      </c>
      <c r="K107" s="146" t="str">
        <f t="shared" si="17"/>
        <v>3007.32156365563i</v>
      </c>
      <c r="L107" s="144" t="str">
        <f t="shared" si="18"/>
        <v>0.000847520033763508-0.231643276843679i</v>
      </c>
      <c r="M107" s="144" t="str">
        <f>IMPRODUCT(-1,IMPRODUCT(IMDIV(Fv_Co,K107),IMDIV(IMSUM(1,IMDIV(K107,Fv_fcz)),IMSUM(1,IMDIV(K107,Fv_fcp)))))</f>
        <v>-0.00376645075174675+0.012082318492549i</v>
      </c>
      <c r="N107" s="144" t="str">
        <f t="shared" si="19"/>
        <v>0.00279559570501474+0.000882713001181702i</v>
      </c>
      <c r="O107" s="144">
        <f t="shared" si="20"/>
        <v>-50.65777484681338</v>
      </c>
      <c r="P107" s="144">
        <f t="shared" si="21"/>
        <v>17.52357992518861</v>
      </c>
      <c r="Q107" s="144">
        <f t="shared" si="26"/>
        <v>50.65777484681338</v>
      </c>
      <c r="R107" s="144">
        <f t="shared" si="22"/>
        <v>0</v>
      </c>
      <c r="S107" s="144">
        <f t="shared" si="23"/>
        <v>0</v>
      </c>
    </row>
    <row r="108" spans="10:19" ht="12.75">
      <c r="J108" s="144">
        <f t="shared" si="25"/>
        <v>524.8074602497765</v>
      </c>
      <c r="K108" s="146" t="str">
        <f t="shared" si="17"/>
        <v>3297.46252333963i</v>
      </c>
      <c r="L108" s="144" t="str">
        <f t="shared" si="18"/>
        <v>0.000704938046910137-0.211261655113036i</v>
      </c>
      <c r="M108" s="144" t="str">
        <f>IMPRODUCT(-1,IMPRODUCT(IMDIV(Fv_Co,K108),IMDIV(IMSUM(1,IMDIV(K108,Fv_fcz)),IMSUM(1,IMDIV(K108,Fv_fcp)))))</f>
        <v>-0.00318412256193141+0.0111920873489032i</v>
      </c>
      <c r="N108" s="144" t="str">
        <f t="shared" si="19"/>
        <v>0.00236221428835903+0.000680572730712974i</v>
      </c>
      <c r="O108" s="144">
        <f t="shared" si="20"/>
        <v>-52.18730475142613</v>
      </c>
      <c r="P108" s="144">
        <f t="shared" si="21"/>
        <v>16.072112055577673</v>
      </c>
      <c r="Q108" s="144">
        <f t="shared" si="26"/>
        <v>52.18730475142613</v>
      </c>
      <c r="R108" s="144">
        <f t="shared" si="22"/>
        <v>0</v>
      </c>
      <c r="S108" s="144">
        <f t="shared" si="23"/>
        <v>0</v>
      </c>
    </row>
    <row r="109" spans="10:19" ht="12.75">
      <c r="J109" s="144">
        <f t="shared" si="25"/>
        <v>575.4399373371612</v>
      </c>
      <c r="K109" s="146" t="str">
        <f t="shared" si="17"/>
        <v>3615.59575944119i</v>
      </c>
      <c r="L109" s="144" t="str">
        <f t="shared" si="18"/>
        <v>0.000586343026606943-0.19267328031154i</v>
      </c>
      <c r="M109" s="144" t="str">
        <f>IMPRODUCT(-1,IMPRODUCT(IMDIV(Fv_Co,K109),IMDIV(IMSUM(1,IMDIV(K109,Fv_fcz)),IMSUM(1,IMDIV(K109,Fv_fcp)))))</f>
        <v>-0.00268502654425102+0.0103424393609097i</v>
      </c>
      <c r="N109" s="144" t="str">
        <f t="shared" si="19"/>
        <v>0.00199113737149918+0.000523397089201777i</v>
      </c>
      <c r="O109" s="144">
        <f t="shared" si="20"/>
        <v>-53.72780379288442</v>
      </c>
      <c r="P109" s="144">
        <f t="shared" si="21"/>
        <v>14.72777986870439</v>
      </c>
      <c r="Q109" s="144">
        <f t="shared" si="26"/>
        <v>53.72780379288442</v>
      </c>
      <c r="R109" s="144">
        <f t="shared" si="22"/>
        <v>0</v>
      </c>
      <c r="S109" s="144">
        <f t="shared" si="23"/>
        <v>0</v>
      </c>
    </row>
    <row r="110" spans="10:19" ht="12.75">
      <c r="J110" s="144">
        <f t="shared" si="25"/>
        <v>630.9573444801979</v>
      </c>
      <c r="K110" s="146" t="str">
        <f t="shared" si="17"/>
        <v>3964.42191629503i</v>
      </c>
      <c r="L110" s="144" t="str">
        <f t="shared" si="18"/>
        <v>0.000487699646821432-0.175720393876176i</v>
      </c>
      <c r="M110" s="144" t="str">
        <f>IMPRODUCT(-1,IMPRODUCT(IMDIV(Fv_Co,K110),IMDIV(IMSUM(1,IMDIV(K110,Fv_fcz)),IMSUM(1,IMDIV(K110,Fv_fcp)))))</f>
        <v>-0.0022592690663069+0.0095375510100104i</v>
      </c>
      <c r="N110" s="144" t="str">
        <f t="shared" si="19"/>
        <v>0.00167484037536744+0.000401651110462832i</v>
      </c>
      <c r="O110" s="144">
        <f t="shared" si="20"/>
        <v>-55.27768252883456</v>
      </c>
      <c r="P110" s="144">
        <f t="shared" si="21"/>
        <v>13.485686683332547</v>
      </c>
      <c r="Q110" s="144">
        <f t="shared" si="26"/>
        <v>55.27768252883456</v>
      </c>
      <c r="R110" s="144">
        <f t="shared" si="22"/>
        <v>0</v>
      </c>
      <c r="S110" s="144">
        <f t="shared" si="23"/>
        <v>0</v>
      </c>
    </row>
    <row r="111" spans="10:19" ht="12.75">
      <c r="J111" s="144">
        <f t="shared" si="25"/>
        <v>691.8309709189416</v>
      </c>
      <c r="K111" s="146" t="str">
        <f aca="true" t="shared" si="27" ref="K111:K140">COMPLEX(0,2*PI()*J111)</f>
        <v>4346.90219152968i</v>
      </c>
      <c r="L111" s="144" t="str">
        <f aca="true" t="shared" si="28" ref="L111:L140">IMDIV(F2_Num,IMSUM(1,IMDIV(K111,F2_Dem)))</f>
        <v>0.000405651423095654-0.160259111593249i</v>
      </c>
      <c r="M111" s="144" t="str">
        <f>IMPRODUCT(-1,IMPRODUCT(IMDIV(Fv_Co,K111),IMDIV(IMSUM(1,IMDIV(K111,Fv_fcz)),IMSUM(1,IMDIV(K111,Fv_fcp)))))</f>
        <v>-0.00189752514590933+0.00877981714173213i</v>
      </c>
      <c r="N111" s="144" t="str">
        <f aca="true" t="shared" si="29" ref="N111:N140">IMPRODUCT(L111,M111)</f>
        <v>0.00140627596130937+0.000307657239427343i</v>
      </c>
      <c r="O111" s="144">
        <f aca="true" t="shared" si="30" ref="O111:O140">20*LOG10(IMABS(N111))</f>
        <v>-56.83554696253645</v>
      </c>
      <c r="P111" s="144">
        <f aca="true" t="shared" si="31" ref="P111:P140">(180/PI())*IMARGUMENT(N111)</f>
        <v>12.340423769693048</v>
      </c>
      <c r="Q111" s="144">
        <f t="shared" si="26"/>
        <v>56.83554696253645</v>
      </c>
      <c r="R111" s="144">
        <f aca="true" t="shared" si="32" ref="R111:R140">IF(Q111=Min_GL,J111,0)</f>
        <v>0</v>
      </c>
      <c r="S111" s="144">
        <f aca="true" t="shared" si="33" ref="S111:S140">IF(Q111=Min_GL,P111,0)</f>
        <v>0</v>
      </c>
    </row>
    <row r="112" spans="10:19" ht="12.75">
      <c r="J112" s="144">
        <f t="shared" si="25"/>
        <v>758.5775750291895</v>
      </c>
      <c r="K112" s="146" t="str">
        <f t="shared" si="27"/>
        <v>4766.28347377932i</v>
      </c>
      <c r="L112" s="144" t="str">
        <f t="shared" si="28"/>
        <v>0.000337406521116703-0.14615820442209i</v>
      </c>
      <c r="M112" s="144" t="str">
        <f>IMPRODUCT(-1,IMPRODUCT(IMDIV(Fv_Co,K112),IMDIV(IMSUM(1,IMDIV(K112,Fv_fcz)),IMSUM(1,IMDIV(K112,Fv_fcp)))))</f>
        <v>-0.00159121454645126+0.00807020189204429i</v>
      </c>
      <c r="N112" s="144" t="str">
        <f t="shared" si="29"/>
        <v>0.00117898933170048+0.000235291999704731i</v>
      </c>
      <c r="O112" s="144">
        <f t="shared" si="30"/>
        <v>-58.400185090380134</v>
      </c>
      <c r="P112" s="144">
        <f t="shared" si="31"/>
        <v>11.286292267517515</v>
      </c>
      <c r="Q112" s="144">
        <f t="shared" si="26"/>
        <v>58.400185090380134</v>
      </c>
      <c r="R112" s="144">
        <f t="shared" si="32"/>
        <v>0</v>
      </c>
      <c r="S112" s="144">
        <f t="shared" si="33"/>
        <v>0</v>
      </c>
    </row>
    <row r="113" spans="10:19" ht="12.75">
      <c r="J113" s="144">
        <f t="shared" si="25"/>
        <v>831.7637711026773</v>
      </c>
      <c r="K113" s="146" t="str">
        <f t="shared" si="27"/>
        <v>5226.12590563663i</v>
      </c>
      <c r="L113" s="144" t="str">
        <f t="shared" si="28"/>
        <v>0.000280642772010817-0.133297986202945i</v>
      </c>
      <c r="M113" s="144" t="str">
        <f>IMPRODUCT(-1,IMPRODUCT(IMDIV(Fv_Co,K113),IMDIV(IMSUM(1,IMDIV(K113,Fv_fcz)),IMSUM(1,IMDIV(K113,Fv_fcp)))))</f>
        <v>-0.00133258935503926+0.00740855700576017i</v>
      </c>
      <c r="N113" s="144" t="str">
        <f t="shared" si="29"/>
        <v>0.000987171747967+0.000179710635436911i</v>
      </c>
      <c r="O113" s="144">
        <f t="shared" si="30"/>
        <v>-59.970550795560776</v>
      </c>
      <c r="P113" s="144">
        <f t="shared" si="31"/>
        <v>10.3174794545655</v>
      </c>
      <c r="Q113" s="144">
        <f t="shared" si="26"/>
        <v>59.970550795560776</v>
      </c>
      <c r="R113" s="144">
        <f t="shared" si="32"/>
        <v>0</v>
      </c>
      <c r="S113" s="144">
        <f t="shared" si="33"/>
        <v>0</v>
      </c>
    </row>
    <row r="114" spans="10:19" ht="12.75">
      <c r="J114" s="144">
        <f t="shared" si="25"/>
        <v>912.0108393559167</v>
      </c>
      <c r="K114" s="146" t="str">
        <f t="shared" si="27"/>
        <v>5730.33310582962i</v>
      </c>
      <c r="L114" s="144" t="str">
        <f t="shared" si="28"/>
        <v>0.000233428664453792-0.121569298938549i</v>
      </c>
      <c r="M114" s="144" t="str">
        <f>IMPRODUCT(-1,IMPRODUCT(IMDIV(Fv_Co,K114),IMDIV(IMSUM(1,IMDIV(K114,Fv_fcz)),IMSUM(1,IMDIV(K114,Fv_fcp)))))</f>
        <v>-0.00111475703938474+0.00679389809749553i</v>
      </c>
      <c r="N114" s="144" t="str">
        <f t="shared" si="29"/>
        <v>0.000825669212525579+0.000137106122324149i</v>
      </c>
      <c r="O114" s="144">
        <f t="shared" si="30"/>
        <v>-61.54574664212467</v>
      </c>
      <c r="P114" s="144">
        <f t="shared" si="31"/>
        <v>9.428194519835891</v>
      </c>
      <c r="Q114" s="144">
        <f t="shared" si="26"/>
        <v>61.54574664212467</v>
      </c>
      <c r="R114" s="144">
        <f t="shared" si="32"/>
        <v>0</v>
      </c>
      <c r="S114" s="144">
        <f t="shared" si="33"/>
        <v>0</v>
      </c>
    </row>
    <row r="115" spans="10:19" ht="12.75">
      <c r="J115" s="144">
        <f t="shared" si="25"/>
        <v>1000.0000000000077</v>
      </c>
      <c r="K115" s="146" t="str">
        <f t="shared" si="27"/>
        <v>6283.18530717963i</v>
      </c>
      <c r="L115" s="144" t="str">
        <f t="shared" si="28"/>
        <v>0.000194157626659058-0.11087258713543i</v>
      </c>
      <c r="M115" s="144" t="str">
        <f>IMPRODUCT(-1,IMPRODUCT(IMDIV(Fv_Co,K115),IMDIV(IMSUM(1,IMDIV(K115,Fv_fcz)),IMSUM(1,IMDIV(K115,Fv_fcp)))))</f>
        <v>-0.000931659261335375+0.00622463628000844i</v>
      </c>
      <c r="N115" s="144" t="str">
        <f t="shared" si="29"/>
        <v>0.000689960639590559+0.000104504033239879i</v>
      </c>
      <c r="O115" s="144">
        <f t="shared" si="30"/>
        <v>-63.12500667109059</v>
      </c>
      <c r="P115" s="144">
        <f t="shared" si="31"/>
        <v>8.61276976700554</v>
      </c>
      <c r="Q115" s="144">
        <f t="shared" si="26"/>
        <v>63.12500667109059</v>
      </c>
      <c r="R115" s="144">
        <f t="shared" si="32"/>
        <v>0</v>
      </c>
      <c r="S115" s="144">
        <f t="shared" si="33"/>
        <v>0</v>
      </c>
    </row>
    <row r="116" spans="10:19" ht="12.75">
      <c r="J116" s="144">
        <f t="shared" si="25"/>
        <v>1096.4781961431936</v>
      </c>
      <c r="K116" s="146" t="str">
        <f t="shared" si="27"/>
        <v>6889.37569164969i</v>
      </c>
      <c r="L116" s="144" t="str">
        <f t="shared" si="28"/>
        <v>0.000161493363055243-0.10111705342282i</v>
      </c>
      <c r="M116" s="144" t="str">
        <f>IMPRODUCT(-1,IMPRODUCT(IMDIV(Fv_Co,K116),IMDIV(IMSUM(1,IMDIV(K116,Fv_fcz)),IMSUM(1,IMDIV(K116,Fv_fcp)))))</f>
        <v>-0.000778022540286822+0.00569876691730297i</v>
      </c>
      <c r="N116" s="144" t="str">
        <f t="shared" si="29"/>
        <v>0.00057611687334456+0.0000795916598050839i</v>
      </c>
      <c r="O116" s="144">
        <f t="shared" si="30"/>
        <v>-64.70767992985125</v>
      </c>
      <c r="P116" s="144">
        <f t="shared" si="31"/>
        <v>7.865733199710834</v>
      </c>
      <c r="Q116" s="144">
        <f>ABS(O116)</f>
        <v>64.70767992985125</v>
      </c>
      <c r="R116" s="144">
        <f t="shared" si="32"/>
        <v>0</v>
      </c>
      <c r="S116" s="144">
        <f t="shared" si="33"/>
        <v>0</v>
      </c>
    </row>
    <row r="117" spans="10:19" ht="12.75">
      <c r="J117" s="144">
        <f t="shared" si="25"/>
        <v>1202.2644346174225</v>
      </c>
      <c r="K117" s="146" t="str">
        <f t="shared" si="27"/>
        <v>7554.05023093276i</v>
      </c>
      <c r="L117" s="144" t="str">
        <f t="shared" si="28"/>
        <v>0.000134324386304189-0.0922198883387595i</v>
      </c>
      <c r="M117" s="144" t="str">
        <f>IMPRODUCT(-1,IMPRODUCT(IMDIV(Fv_Co,K117),IMDIV(IMSUM(1,IMDIV(K117,Fv_fcz)),IMSUM(1,IMDIV(K117,Fv_fcp)))))</f>
        <v>-0.000649292894440291+0.00521401966887432i</v>
      </c>
      <c r="N117" s="144" t="str">
        <f t="shared" si="29"/>
        <v>0.000480749095790108+0.0000605780882166331i</v>
      </c>
      <c r="O117" s="144">
        <f t="shared" si="30"/>
        <v>-66.29321517936971</v>
      </c>
      <c r="P117" s="144">
        <f t="shared" si="31"/>
        <v>7.181858021096834</v>
      </c>
      <c r="Q117" s="144">
        <f aca="true" t="shared" si="34" ref="Q117:Q138">ABS(O117)</f>
        <v>66.29321517936971</v>
      </c>
      <c r="R117" s="144">
        <f t="shared" si="32"/>
        <v>0</v>
      </c>
      <c r="S117" s="144">
        <f t="shared" si="33"/>
        <v>0</v>
      </c>
    </row>
    <row r="118" spans="10:19" ht="12.75">
      <c r="J118" s="144">
        <f t="shared" si="25"/>
        <v>1318.2567385564178</v>
      </c>
      <c r="K118" s="146" t="str">
        <f t="shared" si="27"/>
        <v>8282.85137078816i</v>
      </c>
      <c r="L118" s="144" t="str">
        <f t="shared" si="28"/>
        <v>0.000111726197981498-0.084105567788671i</v>
      </c>
      <c r="M118" s="144" t="str">
        <f>IMPRODUCT(-1,IMPRODUCT(IMDIV(Fv_Co,K118),IMDIV(IMSUM(1,IMDIV(K118,Fv_fcz)),IMSUM(1,IMDIV(K118,Fv_fcp)))))</f>
        <v>-0.000541563176634525+0.00476797506011526i</v>
      </c>
      <c r="N118" s="144" t="str">
        <f t="shared" si="29"/>
        <v>0.000400952742838524+0.0000460811861898203i</v>
      </c>
      <c r="O118" s="144">
        <f t="shared" si="30"/>
        <v>-67.88114701243822</v>
      </c>
      <c r="P118" s="144">
        <f t="shared" si="31"/>
        <v>6.556193933718931</v>
      </c>
      <c r="Q118" s="144">
        <f t="shared" si="34"/>
        <v>67.88114701243822</v>
      </c>
      <c r="R118" s="144">
        <f t="shared" si="32"/>
        <v>0</v>
      </c>
      <c r="S118" s="144">
        <f t="shared" si="33"/>
        <v>0</v>
      </c>
    </row>
    <row r="119" spans="10:19" ht="12.75">
      <c r="J119" s="144">
        <f t="shared" si="25"/>
        <v>1445.4397707459393</v>
      </c>
      <c r="K119" s="146" t="str">
        <f t="shared" si="27"/>
        <v>9081.96592996392i</v>
      </c>
      <c r="L119" s="144" t="str">
        <f t="shared" si="28"/>
        <v>0.0000929298313529587-0.0767052122456087i</v>
      </c>
      <c r="M119" s="144" t="str">
        <f>IMPRODUCT(-1,IMPRODUCT(IMDIV(Fv_Co,K119),IMDIV(IMSUM(1,IMDIV(K119,Fv_fcz)),IMSUM(1,IMDIV(K119,Fv_fcp)))))</f>
        <v>-0.000451499072313238+0.00435815301992394i</v>
      </c>
      <c r="N119" s="144" t="str">
        <f t="shared" si="29"/>
        <v>0.00033425109465946+0.0000350373345956343i</v>
      </c>
      <c r="O119" s="144">
        <f t="shared" si="30"/>
        <v>-69.47108346779328</v>
      </c>
      <c r="P119" s="144">
        <f t="shared" si="31"/>
        <v>5.984084398907082</v>
      </c>
      <c r="Q119" s="144">
        <f t="shared" si="34"/>
        <v>69.47108346779328</v>
      </c>
      <c r="R119" s="144">
        <f t="shared" si="32"/>
        <v>0</v>
      </c>
      <c r="S119" s="144">
        <f t="shared" si="33"/>
        <v>0</v>
      </c>
    </row>
    <row r="120" spans="10:19" ht="12.75">
      <c r="J120" s="144">
        <f t="shared" si="25"/>
        <v>1584.8931924611265</v>
      </c>
      <c r="K120" s="146" t="str">
        <f t="shared" si="27"/>
        <v>9958.1776203207i</v>
      </c>
      <c r="L120" s="144" t="str">
        <f t="shared" si="28"/>
        <v>0.000077295686060941-0.0699560022775482i</v>
      </c>
      <c r="M120" s="144" t="str">
        <f>IMPRODUCT(-1,IMPRODUCT(IMDIV(Fv_Co,K120),IMDIV(IMSUM(1,IMDIV(K120,Fv_fcz)),IMSUM(1,IMDIV(K120,Fv_fcp)))))</f>
        <v>-0.000376267618851889+0.00398207852655785i</v>
      </c>
      <c r="N120" s="144" t="str">
        <f t="shared" si="29"/>
        <v>0.000278541210609515+0.0000266299758930292i</v>
      </c>
      <c r="O120" s="144">
        <f t="shared" si="30"/>
        <v>-71.06269512575606</v>
      </c>
      <c r="P120" s="144">
        <f t="shared" si="31"/>
        <v>5.461173297612752</v>
      </c>
      <c r="Q120" s="144">
        <f t="shared" si="34"/>
        <v>71.06269512575606</v>
      </c>
      <c r="R120" s="144">
        <f t="shared" si="32"/>
        <v>0</v>
      </c>
      <c r="S120" s="144">
        <f t="shared" si="33"/>
        <v>0</v>
      </c>
    </row>
    <row r="121" spans="10:19" ht="12.75">
      <c r="J121" s="144">
        <f t="shared" si="25"/>
        <v>1737.80082874939</v>
      </c>
      <c r="K121" s="146" t="str">
        <f t="shared" si="27"/>
        <v>10918.9246340027i</v>
      </c>
      <c r="L121" s="144" t="str">
        <f t="shared" si="28"/>
        <v>0.0000642917645329091-0.0638006454591525i</v>
      </c>
      <c r="M121" s="144" t="str">
        <f>IMPRODUCT(-1,IMPRODUCT(IMDIV(Fv_Co,K121),IMDIV(IMSUM(1,IMDIV(K121,Fv_fcz)),IMSUM(1,IMDIV(K121,Fv_fcp)))))</f>
        <v>-0.000313470554441791+0.00363732894412994i</v>
      </c>
      <c r="N121" s="144" t="str">
        <f t="shared" si="29"/>
        <v>0.000232043780807674+0.0000202334740018294i</v>
      </c>
      <c r="O121" s="144">
        <f t="shared" si="30"/>
        <v>-72.6557056090411</v>
      </c>
      <c r="P121" s="144">
        <f t="shared" si="31"/>
        <v>4.983403777756706</v>
      </c>
      <c r="Q121" s="144">
        <f t="shared" si="34"/>
        <v>72.6557056090411</v>
      </c>
      <c r="R121" s="144">
        <f t="shared" si="32"/>
        <v>0</v>
      </c>
      <c r="S121" s="144">
        <f t="shared" si="33"/>
        <v>0</v>
      </c>
    </row>
    <row r="122" spans="10:19" ht="12.75">
      <c r="J122" s="144">
        <f t="shared" si="25"/>
        <v>1905.460717963263</v>
      </c>
      <c r="K122" s="146" t="str">
        <f t="shared" si="27"/>
        <v>11972.3627865146i</v>
      </c>
      <c r="L122" s="144" t="str">
        <f t="shared" si="28"/>
        <v>0.0000534755696542957-0.0581868901570719i</v>
      </c>
      <c r="M122" s="144" t="str">
        <f>IMPRODUCT(-1,IMPRODUCT(IMDIV(Fv_Co,K122),IMDIV(IMSUM(1,IMDIV(K122,Fv_fcz)),IMSUM(1,IMDIV(K122,Fv_fcp)))))</f>
        <v>-0.00026108370665719+0.00332156697519388i</v>
      </c>
      <c r="N122" s="144" t="str">
        <f t="shared" si="29"/>
        <v>0.000193257691135023+0.0000153692716472065i</v>
      </c>
      <c r="O122" s="144">
        <f t="shared" si="30"/>
        <v>-74.24988337714308</v>
      </c>
      <c r="P122" s="144">
        <f t="shared" si="31"/>
        <v>4.547011499288823</v>
      </c>
      <c r="Q122" s="144">
        <f t="shared" si="34"/>
        <v>74.24988337714308</v>
      </c>
      <c r="R122" s="144">
        <f t="shared" si="32"/>
        <v>0</v>
      </c>
      <c r="S122" s="144">
        <f t="shared" si="33"/>
        <v>0</v>
      </c>
    </row>
    <row r="123" spans="10:19" ht="12.75">
      <c r="J123" s="144">
        <f t="shared" si="25"/>
        <v>2089.296130854057</v>
      </c>
      <c r="K123" s="146" t="str">
        <f t="shared" si="27"/>
        <v>13127.4347517294i</v>
      </c>
      <c r="L123" s="144" t="str">
        <f t="shared" si="28"/>
        <v>0.0000444790477977835-0.0530670820722438i</v>
      </c>
      <c r="M123" s="144" t="str">
        <f>IMPRODUCT(-1,IMPRODUCT(IMDIV(Fv_Co,K123),IMDIV(IMSUM(1,IMDIV(K123,Fv_fcz)),IMSUM(1,IMDIV(K123,Fv_fcp)))))</f>
        <v>-0.00021740288342419+0.00303256249614932i</v>
      </c>
      <c r="N123" s="144" t="str">
        <f t="shared" si="29"/>
        <v>0.000160919572999121+0.0000116718221496299i</v>
      </c>
      <c r="O123" s="144">
        <f t="shared" si="30"/>
        <v>-75.84503468611322</v>
      </c>
      <c r="P123" s="144">
        <f t="shared" si="31"/>
        <v>4.1485140036598445</v>
      </c>
      <c r="Q123" s="144">
        <f t="shared" si="34"/>
        <v>75.84503468611322</v>
      </c>
      <c r="R123" s="144">
        <f t="shared" si="32"/>
        <v>0</v>
      </c>
      <c r="S123" s="144">
        <f t="shared" si="33"/>
        <v>0</v>
      </c>
    </row>
    <row r="124" spans="10:19" ht="12.75">
      <c r="J124" s="144">
        <f t="shared" si="25"/>
        <v>2290.8676527677926</v>
      </c>
      <c r="K124" s="146" t="str">
        <f t="shared" si="27"/>
        <v>14393.9459765636i</v>
      </c>
      <c r="L124" s="144" t="str">
        <f t="shared" si="28"/>
        <v>0.0000369960649038956-0.0483977597829945i</v>
      </c>
      <c r="M124" s="144" t="str">
        <f>IMPRODUCT(-1,IMPRODUCT(IMDIV(Fv_Co,K124),IMDIV(IMSUM(1,IMDIV(K124,Fv_fcz)),IMSUM(1,IMDIV(K124,Fv_fcp)))))</f>
        <v>-0.000180996242956189+0.00276820593436149i</v>
      </c>
      <c r="N124" s="144" t="str">
        <f t="shared" si="29"/>
        <v>0.000133968269692335+8.86222541463313E-06i</v>
      </c>
      <c r="O124" s="144">
        <f t="shared" si="30"/>
        <v>-77.44099758136493</v>
      </c>
      <c r="P124" s="144">
        <f t="shared" si="31"/>
        <v>3.784697535493719</v>
      </c>
      <c r="Q124" s="144">
        <f t="shared" si="34"/>
        <v>77.44099758136493</v>
      </c>
      <c r="R124" s="144">
        <f t="shared" si="32"/>
        <v>0</v>
      </c>
      <c r="S124" s="144">
        <f t="shared" si="33"/>
        <v>0</v>
      </c>
    </row>
    <row r="125" spans="10:19" ht="12.75">
      <c r="J125" s="144">
        <f t="shared" si="25"/>
        <v>2511.8864315096016</v>
      </c>
      <c r="K125" s="146" t="str">
        <f t="shared" si="27"/>
        <v>15782.6479197649i</v>
      </c>
      <c r="L125" s="144" t="str">
        <f t="shared" si="28"/>
        <v>0.0000307719894854932-0.0441392858617891i</v>
      </c>
      <c r="M125" s="144" t="str">
        <f>IMPRODUCT(-1,IMPRODUCT(IMDIV(Fv_Co,K125),IMDIV(IMSUM(1,IMDIV(K125,Fv_fcz)),IMSUM(1,IMDIV(K125,Fv_fcp)))))</f>
        <v>-0.000150662821376511+0.00252651531311078i</v>
      </c>
      <c r="N125" s="144" t="str">
        <f t="shared" si="29"/>
        <v>0.000111513945444829+6.72789524413147E-06i</v>
      </c>
      <c r="O125" s="144">
        <f t="shared" si="30"/>
        <v>-79.03763679486387</v>
      </c>
      <c r="P125" s="144">
        <f t="shared" si="31"/>
        <v>3.4526023222077815</v>
      </c>
      <c r="Q125" s="144">
        <f t="shared" si="34"/>
        <v>79.03763679486387</v>
      </c>
      <c r="R125" s="144">
        <f t="shared" si="32"/>
        <v>0</v>
      </c>
      <c r="S125" s="144">
        <f t="shared" si="33"/>
        <v>0</v>
      </c>
    </row>
    <row r="126" spans="10:19" ht="12.75">
      <c r="J126" s="144">
        <f t="shared" si="25"/>
        <v>2754.2287033381904</v>
      </c>
      <c r="K126" s="146" t="str">
        <f t="shared" si="27"/>
        <v>17305.3293214268i</v>
      </c>
      <c r="L126" s="144" t="str">
        <f t="shared" si="28"/>
        <v>0.0000255950281116229-0.0402555104389667i</v>
      </c>
      <c r="M126" s="144" t="str">
        <f>IMPRODUCT(-1,IMPRODUCT(IMDIV(Fv_Co,K126),IMDIV(IMSUM(1,IMDIV(K126,Fv_fcz)),IMSUM(1,IMDIV(K126,Fv_fcp)))))</f>
        <v>-0.000125396730485256+0.00230563863957724i</v>
      </c>
      <c r="N126" s="144" t="str">
        <f t="shared" si="29"/>
        <v>0.0000928114507911447+5.10692227885674E-06i</v>
      </c>
      <c r="O126" s="144">
        <f t="shared" si="30"/>
        <v>-80.6348394264121</v>
      </c>
      <c r="P126" s="144">
        <f t="shared" si="31"/>
        <v>3.149507061482264</v>
      </c>
      <c r="Q126" s="144">
        <f t="shared" si="34"/>
        <v>80.6348394264121</v>
      </c>
      <c r="R126" s="144">
        <f t="shared" si="32"/>
        <v>0</v>
      </c>
      <c r="S126" s="144">
        <f t="shared" si="33"/>
        <v>0</v>
      </c>
    </row>
    <row r="127" spans="10:19" ht="12.75">
      <c r="J127" s="144">
        <f t="shared" si="25"/>
        <v>3019.9517204020426</v>
      </c>
      <c r="K127" s="146" t="str">
        <f t="shared" si="27"/>
        <v>18974.9162780218i</v>
      </c>
      <c r="L127" s="144" t="str">
        <f t="shared" si="28"/>
        <v>0.0000212890185514922-0.0367134643610662i</v>
      </c>
      <c r="M127" s="144" t="str">
        <f>IMPRODUCT(-1,IMPRODUCT(IMDIV(Fv_Co,K127),IMDIV(IMSUM(1,IMDIV(K127,Fv_fcz)),IMSUM(1,IMDIV(K127,Fv_fcp)))))</f>
        <v>-0.0001043564608875+0.00210385293901353i</v>
      </c>
      <c r="N127" s="144" t="str">
        <f t="shared" si="29"/>
        <v>0.0000772375082507658+0.0000038760761718885i</v>
      </c>
      <c r="O127" s="144">
        <f t="shared" si="30"/>
        <v>-82.23251129952567</v>
      </c>
      <c r="P127" s="144">
        <f t="shared" si="31"/>
        <v>2.872913165934619</v>
      </c>
      <c r="Q127" s="144">
        <f t="shared" si="34"/>
        <v>82.23251129952567</v>
      </c>
      <c r="R127" s="144">
        <f t="shared" si="32"/>
        <v>0</v>
      </c>
      <c r="S127" s="144">
        <f t="shared" si="33"/>
        <v>0</v>
      </c>
    </row>
    <row r="128" spans="10:19" ht="12.75">
      <c r="J128" s="144">
        <f t="shared" si="25"/>
        <v>3311.31121482594</v>
      </c>
      <c r="K128" s="146" t="str">
        <f t="shared" si="27"/>
        <v>20805.5819724933i</v>
      </c>
      <c r="L128" s="144" t="str">
        <f t="shared" si="28"/>
        <v>0.0000177074353551591-0.0334830793417098i</v>
      </c>
      <c r="M128" s="144" t="str">
        <f>IMPRODUCT(-1,IMPRODUCT(IMDIV(Fv_Co,K128),IMDIV(IMSUM(1,IMDIV(K128,Fv_fcz)),IMSUM(1,IMDIV(K128,Fv_fcp)))))</f>
        <v>-0.0000868387064961983+0.00191956093714047i</v>
      </c>
      <c r="N128" s="144" t="str">
        <f t="shared" si="29"/>
        <v>0.0000642712734687396+2.94161780074836E-06i</v>
      </c>
      <c r="O128" s="144">
        <f t="shared" si="30"/>
        <v>-83.83057389413439</v>
      </c>
      <c r="P128" s="144">
        <f t="shared" si="31"/>
        <v>2.6205291590214634</v>
      </c>
      <c r="Q128" s="144">
        <f t="shared" si="34"/>
        <v>83.83057389413439</v>
      </c>
      <c r="R128" s="144">
        <f t="shared" si="32"/>
        <v>0</v>
      </c>
      <c r="S128" s="144">
        <f t="shared" si="33"/>
        <v>0</v>
      </c>
    </row>
    <row r="129" spans="10:19" ht="12.75">
      <c r="J129" s="144">
        <f t="shared" si="25"/>
        <v>3630.7805477010456</v>
      </c>
      <c r="K129" s="146" t="str">
        <f t="shared" si="27"/>
        <v>22812.8669909087i</v>
      </c>
      <c r="L129" s="144" t="str">
        <f t="shared" si="28"/>
        <v>0.0000147284039005677-0.0305369327314832i</v>
      </c>
      <c r="M129" s="144" t="str">
        <f>IMPRODUCT(-1,IMPRODUCT(IMDIV(Fv_Co,K129),IMDIV(IMSUM(1,IMDIV(K129,Fv_fcz)),IMSUM(1,IMDIV(K129,Fv_fcp)))))</f>
        <v>-0.0000722561432759847+0.00175128615275834i</v>
      </c>
      <c r="N129" s="144" t="str">
        <f t="shared" si="29"/>
        <v>0.000053477843222697+2.23227463645845E-06i</v>
      </c>
      <c r="O129" s="144">
        <f t="shared" si="30"/>
        <v>-85.42896177006034</v>
      </c>
      <c r="P129" s="144">
        <f t="shared" si="31"/>
        <v>2.3902554971815175</v>
      </c>
      <c r="Q129" s="144">
        <f t="shared" si="34"/>
        <v>85.42896177006034</v>
      </c>
      <c r="R129" s="144">
        <f t="shared" si="32"/>
        <v>0</v>
      </c>
      <c r="S129" s="144">
        <f t="shared" si="33"/>
        <v>0</v>
      </c>
    </row>
    <row r="130" spans="10:19" ht="12.75">
      <c r="J130" s="144">
        <f t="shared" si="25"/>
        <v>3981.0717055350083</v>
      </c>
      <c r="K130" s="146" t="str">
        <f t="shared" si="27"/>
        <v>25013.8112470459i</v>
      </c>
      <c r="L130" s="144" t="str">
        <f t="shared" si="28"/>
        <v>0.0000122505532501011-0.027850014741742i</v>
      </c>
      <c r="M130" s="144" t="str">
        <f>IMPRODUCT(-1,IMPRODUCT(IMDIV(Fv_Co,K130),IMDIV(IMSUM(1,IMDIV(K130,Fv_fcz)),IMSUM(1,IMDIV(K130,Fv_fcp)))))</f>
        <v>-0.0000601186328051105+0.00159766697356396i</v>
      </c>
      <c r="N130" s="144" t="str">
        <f t="shared" si="29"/>
        <v>0.0000444943122796381+1.69387711421127E-06i</v>
      </c>
      <c r="O130" s="144">
        <f t="shared" si="30"/>
        <v>-87.02762040639084</v>
      </c>
      <c r="P130" s="144">
        <f t="shared" si="31"/>
        <v>2.1801700030189344</v>
      </c>
      <c r="Q130" s="144">
        <f t="shared" si="34"/>
        <v>87.02762040639084</v>
      </c>
      <c r="R130" s="144">
        <f t="shared" si="32"/>
        <v>0</v>
      </c>
      <c r="S130" s="144">
        <f t="shared" si="33"/>
        <v>0</v>
      </c>
    </row>
    <row r="131" spans="10:19" ht="12.75">
      <c r="J131" s="144">
        <f t="shared" si="25"/>
        <v>4365.1583224016995</v>
      </c>
      <c r="K131" s="146" t="str">
        <f t="shared" si="27"/>
        <v>27427.098634827i</v>
      </c>
      <c r="L131" s="144" t="str">
        <f t="shared" si="28"/>
        <v>0.0000101895667010906-0.0253995161475i</v>
      </c>
      <c r="M131" s="144" t="str">
        <f>IMPRODUCT(-1,IMPRODUCT(IMDIV(Fv_Co,K131),IMDIV(IMSUM(1,IMDIV(K131,Fv_fcz)),IMSUM(1,IMDIV(K131,Fv_fcp)))))</f>
        <v>-0.0000500173695698524+0.00145745014088792i</v>
      </c>
      <c r="N131" s="144" t="str">
        <f t="shared" si="29"/>
        <v>0.0000370180187323354+1.28526777146903E-06i</v>
      </c>
      <c r="O131" s="144">
        <f t="shared" si="30"/>
        <v>-88.62650439213509</v>
      </c>
      <c r="P131" s="144">
        <f t="shared" si="31"/>
        <v>1.9885140266853463</v>
      </c>
      <c r="Q131" s="144">
        <f t="shared" si="34"/>
        <v>88.62650439213509</v>
      </c>
      <c r="R131" s="144">
        <f t="shared" si="32"/>
        <v>0</v>
      </c>
      <c r="S131" s="144">
        <f t="shared" si="33"/>
        <v>0</v>
      </c>
    </row>
    <row r="132" spans="10:19" ht="12.75">
      <c r="J132" s="144">
        <f t="shared" si="25"/>
        <v>4786.300923226428</v>
      </c>
      <c r="K132" s="146" t="str">
        <f t="shared" si="27"/>
        <v>30073.2156365564i</v>
      </c>
      <c r="L132" s="144" t="str">
        <f t="shared" si="28"/>
        <v>8.47531265467653E-06-0.0231646346681146i</v>
      </c>
      <c r="M132" s="144" t="str">
        <f>IMPRODUCT(-1,IMPRODUCT(IMDIV(Fv_Co,K132),IMDIV(IMSUM(1,IMDIV(K132,Fv_fcz)),IMSUM(1,IMDIV(K132,Fv_fcp)))))</f>
        <v>-0.000041611543190107+0.00132948395534391i</v>
      </c>
      <c r="N132" s="144" t="str">
        <f t="shared" si="29"/>
        <v>0.0000307966574518231+9.75183988166216E-07i</v>
      </c>
      <c r="O132" s="144">
        <f t="shared" si="30"/>
        <v>-90.22557591279494</v>
      </c>
      <c r="P132" s="144">
        <f t="shared" si="31"/>
        <v>1.8136794024991008</v>
      </c>
      <c r="Q132" s="144">
        <f t="shared" si="34"/>
        <v>90.22557591279494</v>
      </c>
      <c r="R132" s="144">
        <f t="shared" si="32"/>
        <v>0</v>
      </c>
      <c r="S132" s="144">
        <f t="shared" si="33"/>
        <v>0</v>
      </c>
    </row>
    <row r="133" spans="10:19" ht="12.75">
      <c r="J133" s="144">
        <f t="shared" si="25"/>
        <v>5248.074602497774</v>
      </c>
      <c r="K133" s="146" t="str">
        <f t="shared" si="27"/>
        <v>32974.6252333964i</v>
      </c>
      <c r="L133" s="144" t="str">
        <f t="shared" si="28"/>
        <v>7.04945817368595E-06-0.0211263983828194i</v>
      </c>
      <c r="M133" s="144" t="str">
        <f>IMPRODUCT(-1,IMPRODUCT(IMDIV(Fv_Co,K133),IMDIV(IMSUM(1,IMDIV(K133,Fv_fcz)),IMSUM(1,IMDIV(K133,Fv_fcp)))))</f>
        <v>-0.0000346171388180141+0.00121271142829216i</v>
      </c>
      <c r="N133" s="144" t="str">
        <f t="shared" si="29"/>
        <v>0.0000256199807254259+7.39884424033224E-07i</v>
      </c>
      <c r="O133" s="144">
        <f t="shared" si="30"/>
        <v>-91.82480348566195</v>
      </c>
      <c r="P133" s="144">
        <f t="shared" si="31"/>
        <v>1.6541962312122327</v>
      </c>
      <c r="Q133" s="144">
        <f t="shared" si="34"/>
        <v>91.82480348566195</v>
      </c>
      <c r="R133" s="144">
        <f t="shared" si="32"/>
        <v>0</v>
      </c>
      <c r="S133" s="144">
        <f t="shared" si="33"/>
        <v>0</v>
      </c>
    </row>
    <row r="134" spans="10:19" ht="12.75">
      <c r="J134" s="144">
        <f aca="true" t="shared" si="35" ref="J134:J140">10^(4/100)*J133</f>
        <v>5754.3993733716225</v>
      </c>
      <c r="K134" s="146" t="str">
        <f t="shared" si="27"/>
        <v>36155.957594412i</v>
      </c>
      <c r="L134" s="144" t="str">
        <f t="shared" si="28"/>
        <v>5.86348402460933E-06-0.0192675046825979i</v>
      </c>
      <c r="M134" s="144" t="str">
        <f>IMPRODUCT(-1,IMPRODUCT(IMDIV(Fv_Co,K134),IMDIV(IMSUM(1,IMDIV(K134,Fv_fcz)),IMSUM(1,IMDIV(K134,Fv_fcp)))))</f>
        <v>-0.0000287975482728498+0.00110616353785099i</v>
      </c>
      <c r="N134" s="144" t="str">
        <f t="shared" si="29"/>
        <v>0.0000213128422912988+5.61342868427267E-07i</v>
      </c>
      <c r="O134" s="144">
        <f t="shared" si="30"/>
        <v>-93.42416090379898</v>
      </c>
      <c r="P134" s="144">
        <f t="shared" si="31"/>
        <v>1.5087214920107932</v>
      </c>
      <c r="Q134" s="144">
        <f t="shared" si="34"/>
        <v>93.42416090379898</v>
      </c>
      <c r="R134" s="144">
        <f t="shared" si="32"/>
        <v>0</v>
      </c>
      <c r="S134" s="144">
        <f t="shared" si="33"/>
        <v>0</v>
      </c>
    </row>
    <row r="135" spans="10:19" ht="12.75">
      <c r="J135" s="144">
        <f t="shared" si="35"/>
        <v>6309.573444801991</v>
      </c>
      <c r="K135" s="146" t="str">
        <f t="shared" si="27"/>
        <v>39644.2191629504i</v>
      </c>
      <c r="L135" s="144" t="str">
        <f t="shared" si="28"/>
        <v>0.0000048770336600957-0.0175721733916524i</v>
      </c>
      <c r="M135" s="144" t="str">
        <f>IMPRODUCT(-1,IMPRODUCT(IMDIV(Fv_Co,K135),IMDIV(IMSUM(1,IMDIV(K135,Fv_fcz)),IMSUM(1,IMDIV(K135,Fv_fcp)))))</f>
        <v>-0.000023955709740603+0.00100895269831529i</v>
      </c>
      <c r="N135" s="144" t="str">
        <f t="shared" si="29"/>
        <v>0.0000177293749259691+0.0000004258745815531i</v>
      </c>
      <c r="O135" s="144">
        <f t="shared" si="30"/>
        <v>-95.02362635485056</v>
      </c>
      <c r="P135" s="144">
        <f t="shared" si="31"/>
        <v>1.3760284698211567</v>
      </c>
      <c r="Q135" s="144">
        <f t="shared" si="34"/>
        <v>95.02362635485056</v>
      </c>
      <c r="R135" s="144">
        <f t="shared" si="32"/>
        <v>0</v>
      </c>
      <c r="S135" s="144">
        <f t="shared" si="33"/>
        <v>0</v>
      </c>
    </row>
    <row r="136" spans="10:19" ht="12.75">
      <c r="J136" s="144">
        <f t="shared" si="35"/>
        <v>6918.30970918943</v>
      </c>
      <c r="K136" s="146" t="str">
        <f t="shared" si="27"/>
        <v>43469.0219152969i</v>
      </c>
      <c r="L136" s="144" t="str">
        <f t="shared" si="28"/>
        <v>4.05653996148561E-06-0.0160260128119137i</v>
      </c>
      <c r="M136" s="144" t="str">
        <f>IMPRODUCT(-1,IMPRODUCT(IMDIV(Fv_Co,K136),IMDIV(IMSUM(1,IMDIV(K136,Fv_fcz)),IMSUM(1,IMDIV(K136,Fv_fcp)))))</f>
        <v>-0.0000199275344898038+0.000920266514561264i</v>
      </c>
      <c r="N136" s="144" t="str">
        <f t="shared" si="29"/>
        <v>0.000014748122115894+3.23092020934983E-07i</v>
      </c>
      <c r="O136" s="144">
        <f t="shared" si="30"/>
        <v>-96.6231816861378</v>
      </c>
      <c r="P136" s="144">
        <f t="shared" si="31"/>
        <v>1.25499697085622</v>
      </c>
      <c r="Q136" s="144">
        <f t="shared" si="34"/>
        <v>96.6231816861378</v>
      </c>
      <c r="R136" s="144">
        <f t="shared" si="32"/>
        <v>0</v>
      </c>
      <c r="S136" s="144">
        <f t="shared" si="33"/>
        <v>0</v>
      </c>
    </row>
    <row r="137" spans="10:19" ht="12.75">
      <c r="J137" s="144">
        <f t="shared" si="35"/>
        <v>7585.775750291909</v>
      </c>
      <c r="K137" s="146" t="str">
        <f t="shared" si="27"/>
        <v>47662.8347377933i</v>
      </c>
      <c r="L137" s="144" t="str">
        <f t="shared" si="28"/>
        <v>3.37408301236332E-06-0.0146158975536673i</v>
      </c>
      <c r="M137" s="144" t="str">
        <f>IMPRODUCT(-1,IMPRODUCT(IMDIV(Fv_Co,K137),IMDIV(IMSUM(1,IMDIV(K137,Fv_fcz)),IMSUM(1,IMDIV(K137,Fv_fcp)))))</f>
        <v>-0.0000165764149236054+0.000839361865411711i</v>
      </c>
      <c r="N137" s="144" t="str">
        <f t="shared" si="29"/>
        <v>0.0000122679711051126+2.4511125894181E-07i</v>
      </c>
      <c r="O137" s="144">
        <f t="shared" si="30"/>
        <v>-98.22281179203131</v>
      </c>
      <c r="P137" s="144">
        <f t="shared" si="31"/>
        <v>1.1446042910819039</v>
      </c>
      <c r="Q137" s="144">
        <f t="shared" si="34"/>
        <v>98.22281179203131</v>
      </c>
      <c r="R137" s="144">
        <f t="shared" si="32"/>
        <v>0</v>
      </c>
      <c r="S137" s="144">
        <f t="shared" si="33"/>
        <v>0</v>
      </c>
    </row>
    <row r="138" spans="10:19" ht="12.75">
      <c r="J138" s="144">
        <f t="shared" si="35"/>
        <v>8317.63771102679</v>
      </c>
      <c r="K138" s="146" t="str">
        <f t="shared" si="27"/>
        <v>52261.2590563664i</v>
      </c>
      <c r="L138" s="144" t="str">
        <f t="shared" si="28"/>
        <v>2.80644003553824E-06-0.0133298571153705i</v>
      </c>
      <c r="M138" s="144" t="str">
        <f>IMPRODUCT(-1,IMPRODUCT(IMDIV(Fv_Co,K138),IMDIV(IMSUM(1,IMDIV(K138,Fv_fcz)),IMSUM(1,IMDIV(K138,Fv_fcp)))))</f>
        <v>-0.0000137886395738877+0.000765559339718142i</v>
      </c>
      <c r="N138" s="144" t="str">
        <f t="shared" si="29"/>
        <v>0.0000102047579147901+1.85949091715831E-07i</v>
      </c>
      <c r="O138" s="144">
        <f t="shared" si="30"/>
        <v>-99.8225041034474</v>
      </c>
      <c r="P138" s="144">
        <f t="shared" si="31"/>
        <v>1.043916897267976</v>
      </c>
      <c r="Q138" s="144">
        <f t="shared" si="34"/>
        <v>99.8225041034474</v>
      </c>
      <c r="R138" s="144">
        <f t="shared" si="32"/>
        <v>0</v>
      </c>
      <c r="S138" s="144">
        <f t="shared" si="33"/>
        <v>0</v>
      </c>
    </row>
    <row r="139" spans="10:19" ht="12.75">
      <c r="J139" s="144">
        <f t="shared" si="35"/>
        <v>9120.108393559185</v>
      </c>
      <c r="K139" s="146" t="str">
        <f t="shared" si="27"/>
        <v>57303.3310582963i</v>
      </c>
      <c r="L139" s="144" t="str">
        <f t="shared" si="28"/>
        <v>2.33429516474028E-06-0.0121569742669413i</v>
      </c>
      <c r="M139" s="144" t="str">
        <f>IMPRODUCT(-1,IMPRODUCT(IMDIV(Fv_Co,K139),IMDIV(IMSUM(1,IMDIV(K139,Fv_fcz)),IMSUM(1,IMDIV(K139,Fv_fcp)))))</f>
        <v>-0.0000114695676774443+0.000698238034305626i</v>
      </c>
      <c r="N139" s="144" t="str">
        <f t="shared" si="29"/>
        <v>0.0000084884350418968+1.41065132774949E-07i</v>
      </c>
      <c r="O139" s="144">
        <f t="shared" si="30"/>
        <v>-101.42224816257811</v>
      </c>
      <c r="P139" s="144">
        <f t="shared" si="31"/>
        <v>0.9520827776407529</v>
      </c>
      <c r="Q139" s="144">
        <f>ABS(O139)</f>
        <v>101.42224816257811</v>
      </c>
      <c r="R139" s="144">
        <f t="shared" si="32"/>
        <v>0</v>
      </c>
      <c r="S139" s="144">
        <f t="shared" si="33"/>
        <v>0</v>
      </c>
    </row>
    <row r="140" spans="10:19" ht="12.75">
      <c r="J140" s="144">
        <f t="shared" si="35"/>
        <v>10000.000000000096</v>
      </c>
      <c r="K140" s="146" t="str">
        <f t="shared" si="27"/>
        <v>62831.8530717965i</v>
      </c>
      <c r="L140" s="144" t="str">
        <f t="shared" si="28"/>
        <v>1.94158216113414E-06-0.0110872923739923i</v>
      </c>
      <c r="M140" s="144" t="str">
        <f>IMPRODUCT(-1,IMPRODUCT(IMDIV(Fv_Co,K140),IMDIV(IMSUM(1,IMDIV(K140,Fv_fcz)),IMSUM(1,IMDIV(K140,Fv_fcp)))))</f>
        <v>-0.0000095404391648729+0.000636830712549693i</v>
      </c>
      <c r="N140" s="144" t="str">
        <f t="shared" si="29"/>
        <v>0.0000070607097792298+1.07014097548382E-07i</v>
      </c>
      <c r="O140" s="144">
        <f t="shared" si="30"/>
        <v>-103.02203526871338</v>
      </c>
      <c r="P140" s="144">
        <f t="shared" si="31"/>
        <v>0.8683244182139541</v>
      </c>
      <c r="Q140" s="144">
        <f>ABS(O140)</f>
        <v>103.02203526871338</v>
      </c>
      <c r="R140" s="144">
        <f t="shared" si="32"/>
        <v>0</v>
      </c>
      <c r="S140" s="144">
        <f t="shared" si="33"/>
        <v>0</v>
      </c>
    </row>
    <row r="141" ht="12.75">
      <c r="K141" s="143"/>
    </row>
    <row r="142" ht="12.75">
      <c r="K142" s="143"/>
    </row>
    <row r="143" ht="12.75">
      <c r="K143" s="143"/>
    </row>
    <row r="144" ht="12.75">
      <c r="K144" s="143"/>
    </row>
    <row r="145" ht="12.75">
      <c r="K145" s="143"/>
    </row>
    <row r="146" ht="12.75">
      <c r="K146" s="143"/>
    </row>
    <row r="147" ht="12.75">
      <c r="K147" s="143"/>
    </row>
    <row r="148" ht="12.75">
      <c r="K148" s="143"/>
    </row>
    <row r="149" ht="12.75">
      <c r="K149" s="143"/>
    </row>
    <row r="150" ht="12.75">
      <c r="K150" s="143"/>
    </row>
    <row r="151" ht="12.75">
      <c r="K151" s="143"/>
    </row>
    <row r="152" ht="12.75">
      <c r="K152" s="143"/>
    </row>
    <row r="153" ht="12.75">
      <c r="K153" s="143"/>
    </row>
    <row r="154" ht="12.75">
      <c r="K154" s="143"/>
    </row>
    <row r="155" ht="12.75">
      <c r="K155" s="143"/>
    </row>
    <row r="156" ht="12.75">
      <c r="K156" s="143"/>
    </row>
    <row r="157" ht="12.75">
      <c r="K157" s="143"/>
    </row>
    <row r="158" ht="12.75">
      <c r="K158" s="143"/>
    </row>
    <row r="159" ht="12.75">
      <c r="K159" s="143"/>
    </row>
    <row r="160" ht="12.75">
      <c r="K160" s="143"/>
    </row>
    <row r="161" ht="12.75">
      <c r="K161" s="143"/>
    </row>
    <row r="162" ht="12.75">
      <c r="K162" s="143"/>
    </row>
    <row r="163" ht="12.75">
      <c r="K163" s="143"/>
    </row>
    <row r="164" ht="12.75">
      <c r="K164" s="143"/>
    </row>
    <row r="165" ht="12.75">
      <c r="K165" s="143"/>
    </row>
    <row r="166" ht="12.75">
      <c r="K166" s="143"/>
    </row>
    <row r="167" ht="12.75">
      <c r="K167" s="143"/>
    </row>
    <row r="168" ht="12.75">
      <c r="K168" s="143"/>
    </row>
    <row r="169" ht="12.75">
      <c r="K169" s="143"/>
    </row>
    <row r="170" ht="12.75">
      <c r="K170" s="143"/>
    </row>
    <row r="171" ht="12.75">
      <c r="K171" s="143"/>
    </row>
    <row r="172" ht="12.75">
      <c r="K172" s="143"/>
    </row>
    <row r="173" ht="12.75">
      <c r="K173" s="143"/>
    </row>
    <row r="174" ht="12.75">
      <c r="K174" s="143"/>
    </row>
    <row r="175" ht="12.75">
      <c r="K175" s="143"/>
    </row>
    <row r="176" ht="12.75">
      <c r="K176" s="143"/>
    </row>
    <row r="177" ht="12.75">
      <c r="K177" s="143"/>
    </row>
    <row r="178" ht="12.75">
      <c r="K178" s="143"/>
    </row>
    <row r="179" ht="12.75">
      <c r="K179" s="143"/>
    </row>
    <row r="180" ht="12.75">
      <c r="K180" s="143"/>
    </row>
    <row r="181" ht="12.75">
      <c r="K181" s="143"/>
    </row>
    <row r="182" ht="12.75">
      <c r="K182" s="143"/>
    </row>
    <row r="183" ht="12.75">
      <c r="K183" s="143"/>
    </row>
    <row r="184" ht="12.75">
      <c r="K184" s="143"/>
    </row>
    <row r="185" ht="12.75">
      <c r="K185" s="143"/>
    </row>
    <row r="186" ht="12.75">
      <c r="K186" s="143"/>
    </row>
    <row r="187" ht="12.75">
      <c r="K187" s="143"/>
    </row>
    <row r="188" ht="12.75">
      <c r="K188" s="143"/>
    </row>
    <row r="189" ht="12.75">
      <c r="K189" s="143"/>
    </row>
    <row r="190" ht="12.75">
      <c r="K190" s="143"/>
    </row>
    <row r="191" ht="12.75">
      <c r="K191" s="143"/>
    </row>
    <row r="192" ht="12.75">
      <c r="K192" s="143"/>
    </row>
    <row r="193" ht="12.75">
      <c r="K193" s="143"/>
    </row>
    <row r="194" ht="12.75">
      <c r="K194" s="143"/>
    </row>
  </sheetData>
  <sheetProtection password="995D" sheet="1" objects="1" scenarios="1" selectLockedCells="1" selectUnlockedCells="1"/>
  <mergeCells count="3">
    <mergeCell ref="A1:I3"/>
    <mergeCell ref="A49:G49"/>
    <mergeCell ref="H50:I5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Fairchild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MicSmith</dc:creator>
  <cp:keywords/>
  <dc:description/>
  <cp:lastModifiedBy> </cp:lastModifiedBy>
  <cp:lastPrinted>2010-06-03T21:50:41Z</cp:lastPrinted>
  <dcterms:created xsi:type="dcterms:W3CDTF">2009-03-26T17:26:21Z</dcterms:created>
  <dcterms:modified xsi:type="dcterms:W3CDTF">2010-07-29T02:39:21Z</dcterms:modified>
  <cp:category/>
  <cp:version/>
  <cp:contentType/>
  <cp:contentStatus/>
</cp:coreProperties>
</file>