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330" windowWidth="15135" windowHeight="9300" activeTab="1"/>
  </bookViews>
  <sheets>
    <sheet name="STEP DOWN" sheetId="1" r:id="rId1"/>
    <sheet name="STEP UP" sheetId="2" r:id="rId2"/>
  </sheets>
  <definedNames/>
  <calcPr fullCalcOnLoad="1"/>
</workbook>
</file>

<file path=xl/sharedStrings.xml><?xml version="1.0" encoding="utf-8"?>
<sst xmlns="http://schemas.openxmlformats.org/spreadsheetml/2006/main" count="260" uniqueCount="121">
  <si>
    <t>Design Spreadsheet for the MC33063 device in step down topology</t>
  </si>
  <si>
    <t>PDIP</t>
  </si>
  <si>
    <t>Package</t>
  </si>
  <si>
    <t>SOIC</t>
  </si>
  <si>
    <t>DFN</t>
  </si>
  <si>
    <t>Rthja (°C/W)</t>
  </si>
  <si>
    <t>Tmax (°C)</t>
  </si>
  <si>
    <t>Pdmax (W)</t>
  </si>
  <si>
    <t>1) Insert Design Parameters</t>
  </si>
  <si>
    <t>= Input Parameter</t>
  </si>
  <si>
    <r>
      <t xml:space="preserve">= Calculated Parameter </t>
    </r>
    <r>
      <rPr>
        <b/>
        <sz val="10"/>
        <rFont val="Arial"/>
        <family val="2"/>
      </rPr>
      <t>(DO NOT CHANGE)</t>
    </r>
  </si>
  <si>
    <t>Unit</t>
  </si>
  <si>
    <t>VIN</t>
  </si>
  <si>
    <t>V</t>
  </si>
  <si>
    <t>VOUT</t>
  </si>
  <si>
    <t>&lt;-- Desired Output Voltage</t>
  </si>
  <si>
    <r>
      <t>Output Voltage:</t>
    </r>
    <r>
      <rPr>
        <sz val="8"/>
        <rFont val="Arial"/>
        <family val="2"/>
      </rPr>
      <t xml:space="preserve"> 1.25V &lt; Vout &lt; (Vin*Dmax)</t>
    </r>
  </si>
  <si>
    <t>IOUT</t>
  </si>
  <si>
    <t>A</t>
  </si>
  <si>
    <t>D</t>
  </si>
  <si>
    <t>2) Input Conduction Loss Parameters from Free-wheeling Diode Datasheets</t>
  </si>
  <si>
    <t>VF</t>
  </si>
  <si>
    <t>&lt;-- Diode Forward Voltage (Example: 1N5819 = 0.6V)</t>
  </si>
  <si>
    <t>Ta max :</t>
  </si>
  <si>
    <t>°C</t>
  </si>
  <si>
    <t>VSAT</t>
  </si>
  <si>
    <t xml:space="preserve">&lt;-- Saturation Voltage of Power Switch Transistor </t>
  </si>
  <si>
    <t>Pd :</t>
  </si>
  <si>
    <t>W</t>
  </si>
  <si>
    <t>- Found in Electrical Characteristics of Datasheet,</t>
  </si>
  <si>
    <t xml:space="preserve">  Darlington Configuration</t>
  </si>
  <si>
    <t>This will help prevent Ipk (sw) from reaching the current limit threshold set by RSC.  If the design goal is to use a minimum</t>
  </si>
  <si>
    <r>
      <t>D</t>
    </r>
    <r>
      <rPr>
        <sz val="10"/>
        <rFont val="Arial"/>
        <family val="0"/>
      </rPr>
      <t>IL / IL(avg)</t>
    </r>
  </si>
  <si>
    <t>%</t>
  </si>
  <si>
    <r>
      <t xml:space="preserve">&lt;-- </t>
    </r>
    <r>
      <rPr>
        <sz val="10"/>
        <rFont val="Symbol"/>
        <family val="1"/>
      </rPr>
      <t>D</t>
    </r>
    <r>
      <rPr>
        <sz val="10"/>
        <rFont val="Arial"/>
        <family val="0"/>
      </rPr>
      <t>IL / IL(avg)</t>
    </r>
  </si>
  <si>
    <t>Iripple</t>
  </si>
  <si>
    <r>
      <t xml:space="preserve">&lt;-- Ripple Current, </t>
    </r>
    <r>
      <rPr>
        <sz val="10"/>
        <rFont val="Symbol"/>
        <family val="1"/>
      </rPr>
      <t>D</t>
    </r>
    <r>
      <rPr>
        <sz val="10"/>
        <rFont val="Arial"/>
        <family val="0"/>
      </rPr>
      <t>IL</t>
    </r>
  </si>
  <si>
    <t>4) Input target frequency</t>
  </si>
  <si>
    <t>Target f</t>
  </si>
  <si>
    <t>kHz</t>
  </si>
  <si>
    <t>&lt;-- Targeted maximum switching frequency</t>
  </si>
  <si>
    <t>NO</t>
  </si>
  <si>
    <t>YES</t>
  </si>
  <si>
    <t>5) The spreadsheet calculates key parameters for the remaining component selection</t>
  </si>
  <si>
    <t>ton/toff</t>
  </si>
  <si>
    <t>ton</t>
  </si>
  <si>
    <t>IL(avg)</t>
  </si>
  <si>
    <t>&lt;-- Average Inductor Current.  For a buck converter this equals Iout</t>
  </si>
  <si>
    <t>Ipk(sw)</t>
  </si>
  <si>
    <t>&lt;-- Peak Inductor Current. For a buck converter this equals Iout + Iripple/2</t>
  </si>
  <si>
    <t>RSC</t>
  </si>
  <si>
    <t>mOhm</t>
  </si>
  <si>
    <t>&lt;-- Minimum Short Circuit Resistor Value</t>
  </si>
  <si>
    <t>L</t>
  </si>
  <si>
    <t>uH</t>
  </si>
  <si>
    <t xml:space="preserve">&lt;-- Minimum inductance value </t>
  </si>
  <si>
    <t>* increasing inductance decreases ripple current</t>
  </si>
  <si>
    <r>
      <t>R</t>
    </r>
    <r>
      <rPr>
        <vertAlign val="subscript"/>
        <sz val="10"/>
        <rFont val="Arial"/>
        <family val="2"/>
      </rPr>
      <t>L</t>
    </r>
  </si>
  <si>
    <t>Ohm</t>
  </si>
  <si>
    <t>&lt;-- Inductor Widing Resistance (from Inductor data sheet or measurement).</t>
  </si>
  <si>
    <t>toff</t>
  </si>
  <si>
    <t>6) Efficiency / Power Loss</t>
  </si>
  <si>
    <t>Pswitch, cond</t>
  </si>
  <si>
    <t>&lt;-- Conduction Loss in Power Switch</t>
  </si>
  <si>
    <t>Psensing, res</t>
  </si>
  <si>
    <t>&lt;-- Conduction Loss in Sensing Resistor</t>
  </si>
  <si>
    <t>Pdiode, cond</t>
  </si>
  <si>
    <t>&lt;-- Conduction Loss in Diode</t>
  </si>
  <si>
    <t>Pind, winding</t>
  </si>
  <si>
    <t>&lt;-- Inductor Winding Losses</t>
  </si>
  <si>
    <t>Pstatic, IC</t>
  </si>
  <si>
    <t>&lt;-- Static Power Loss in IC</t>
  </si>
  <si>
    <t>Pswitch, sw</t>
  </si>
  <si>
    <t>&lt;-- Switching Losses of Power Switch</t>
  </si>
  <si>
    <t>Pcore</t>
  </si>
  <si>
    <t>&lt;-- Core Loss in Inductor. Available in inductor data sheet. Leave blank if not available.</t>
  </si>
  <si>
    <t>Ploss, total</t>
  </si>
  <si>
    <t xml:space="preserve">&lt;-- Total Loss </t>
  </si>
  <si>
    <t>Pout</t>
  </si>
  <si>
    <t>&lt;-- Output Power</t>
  </si>
  <si>
    <t>Pin</t>
  </si>
  <si>
    <t>&lt;-- Input Power = Output Power + Total Loss</t>
  </si>
  <si>
    <t>Efficiency</t>
  </si>
  <si>
    <t>&lt;-- Efficiency of Converter (Est: +/- 5%)</t>
  </si>
  <si>
    <t>Pd IC</t>
  </si>
  <si>
    <t xml:space="preserve">&lt;-- Power Dissipation </t>
  </si>
  <si>
    <t>Related to mentioned PCB</t>
  </si>
  <si>
    <t>us</t>
  </si>
  <si>
    <t>&lt;-- Worst Case Input Voltage (minimum Vin)</t>
  </si>
  <si>
    <t>&lt;-- Average Inductor Current.</t>
  </si>
  <si>
    <t>Design Spreadsheet for the MC33063 device in step up topology:</t>
  </si>
  <si>
    <t xml:space="preserve"> = Input Parameter</t>
  </si>
  <si>
    <t xml:space="preserve"> = Calculated Parameter (DO NOT CHANGE)</t>
  </si>
  <si>
    <t>- increasing inductance decreases ripple current</t>
  </si>
  <si>
    <t>&lt;-- Duty Cycle.  Maximum duty cycle of the MC30063 is 84%</t>
  </si>
  <si>
    <t xml:space="preserve">         </t>
  </si>
  <si>
    <r>
      <t>Input Voltage:</t>
    </r>
    <r>
      <rPr>
        <sz val="8"/>
        <rFont val="Arial"/>
        <family val="2"/>
      </rPr>
      <t xml:space="preserve"> 2.5V &lt; Vin &lt; 38V</t>
    </r>
  </si>
  <si>
    <r>
      <t>Note:</t>
    </r>
    <r>
      <rPr>
        <sz val="8"/>
        <rFont val="Arial"/>
        <family val="2"/>
      </rPr>
      <t xml:space="preserve">  (Vin + 2) &lt; Vout &lt; 40V</t>
    </r>
  </si>
  <si>
    <t xml:space="preserve"> </t>
  </si>
  <si>
    <t xml:space="preserve"> = Warning</t>
  </si>
  <si>
    <r>
      <t xml:space="preserve">3) Set </t>
    </r>
    <r>
      <rPr>
        <b/>
        <u val="single"/>
        <sz val="12"/>
        <rFont val="Symbol"/>
        <family val="1"/>
      </rPr>
      <t>D</t>
    </r>
    <r>
      <rPr>
        <b/>
        <u val="single"/>
        <sz val="12"/>
        <rFont val="Arial"/>
        <family val="2"/>
      </rPr>
      <t>IL/IL(avg)</t>
    </r>
  </si>
  <si>
    <t xml:space="preserve">   </t>
  </si>
  <si>
    <t>= Warning</t>
  </si>
  <si>
    <t>RESULTS:</t>
  </si>
  <si>
    <t>Scroll Bars for fast Vin and Vout setting</t>
  </si>
  <si>
    <t>Scroll Bars for fast Vin and Vout setting:</t>
  </si>
  <si>
    <t>temperature Tj = 150°C.</t>
  </si>
  <si>
    <r>
      <t xml:space="preserve">For Maximum Output Current it is suggested that </t>
    </r>
    <r>
      <rPr>
        <sz val="10"/>
        <rFont val="Arial"/>
        <family val="2"/>
      </rPr>
      <t>Δ</t>
    </r>
    <r>
      <rPr>
        <sz val="10"/>
        <rFont val="Arial"/>
        <family val="0"/>
      </rPr>
      <t>IL should be chosen to be less than 10% of the average inductor current, IL(avg).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</si>
  <si>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red</t>
    </r>
    <r>
      <rPr>
        <sz val="10"/>
        <rFont val="Arial"/>
        <family val="2"/>
      </rPr>
      <t>uce output current capability.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</si>
  <si>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</t>
    </r>
    <r>
      <rPr>
        <sz val="10"/>
        <rFont val="Arial"/>
        <family val="2"/>
      </rPr>
      <t>duce output current capability.</t>
    </r>
  </si>
  <si>
    <t xml:space="preserve">The maximum ambient temperature is related to  one-layer PCB with parameters mentioned below </t>
  </si>
  <si>
    <r>
      <t>Input Voltage:</t>
    </r>
    <r>
      <rPr>
        <sz val="8"/>
        <rFont val="Arial"/>
        <family val="2"/>
      </rPr>
      <t xml:space="preserve"> 4V &lt; Vin &lt; 40V</t>
    </r>
  </si>
  <si>
    <t>Timing capacitor</t>
  </si>
  <si>
    <t>&lt;-- Timing capacitor capacitance</t>
  </si>
  <si>
    <t>Custom</t>
  </si>
  <si>
    <t>Select package, demoboard:</t>
  </si>
  <si>
    <t>&lt;-- Duty Cycle.  Maximum duty cycle of the MC33063 is 84%</t>
  </si>
  <si>
    <t>The maximum ambient temperature is related to  one-layer PCB with parameters mentioned in the above</t>
  </si>
  <si>
    <t>yellow table. The value of maximum ambient temperature is calculated for maximum allowable junction</t>
  </si>
  <si>
    <t>Rev 0.1 7/22/09</t>
  </si>
  <si>
    <t>pF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</si>
</sst>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General;;;"/>
    <numFmt numFmtId="173" formatCode="0.000"/>
    <numFmt numFmtId="174" formatCode="0.0"/>
    <numFmt numFmtId="175" formatCode="0.000000"/>
    <numFmt numFmtId="176" formatCode="0.00000"/>
    <numFmt numFmtId="177" formatCode="0.0000"/>
  </numFmts>
  <fonts count="55">
    <font>
      <sz val="10"/>
      <name val="Arial"/>
      <family val="0"/>
    </font>
    <font>
      <b/>
      <sz val="14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u val="single"/>
      <sz val="12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0" borderId="0" xfId="55" applyFill="1">
      <alignment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0" xfId="55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8" fontId="0" fillId="0" borderId="10" xfId="55" applyNumberFormat="1" applyFill="1" applyBorder="1">
      <alignment/>
      <protection/>
    </xf>
    <xf numFmtId="0" fontId="3" fillId="0" borderId="0" xfId="55" applyFont="1" applyFill="1" applyBorder="1">
      <alignment/>
      <protection/>
    </xf>
    <xf numFmtId="48" fontId="0" fillId="0" borderId="0" xfId="55" applyNumberForma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0" xfId="55" applyFill="1" applyBorder="1" applyProtection="1">
      <alignment/>
      <protection locked="0"/>
    </xf>
    <xf numFmtId="0" fontId="0" fillId="0" borderId="0" xfId="0" applyFill="1" applyBorder="1" applyAlignment="1" quotePrefix="1">
      <alignment/>
    </xf>
    <xf numFmtId="0" fontId="0" fillId="0" borderId="11" xfId="55" applyFill="1" applyBorder="1">
      <alignment/>
      <protection/>
    </xf>
    <xf numFmtId="0" fontId="8" fillId="0" borderId="12" xfId="55" applyFont="1" applyFill="1" applyBorder="1">
      <alignment/>
      <protection/>
    </xf>
    <xf numFmtId="11" fontId="0" fillId="0" borderId="10" xfId="55" applyNumberFormat="1" applyFont="1" applyFill="1" applyBorder="1">
      <alignment/>
      <protection/>
    </xf>
    <xf numFmtId="0" fontId="0" fillId="0" borderId="0" xfId="0" applyAlignment="1">
      <alignment/>
    </xf>
    <xf numFmtId="11" fontId="0" fillId="35" borderId="10" xfId="55" applyNumberFormat="1" applyFill="1" applyBorder="1">
      <alignment/>
      <protection/>
    </xf>
    <xf numFmtId="11" fontId="0" fillId="0" borderId="0" xfId="55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hidden="1"/>
    </xf>
    <xf numFmtId="0" fontId="0" fillId="0" borderId="0" xfId="55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11" xfId="55" applyBorder="1">
      <alignment/>
      <protection/>
    </xf>
    <xf numFmtId="0" fontId="0" fillId="36" borderId="0" xfId="0" applyFill="1" applyBorder="1" applyAlignment="1" applyProtection="1" quotePrefix="1">
      <alignment/>
      <protection/>
    </xf>
    <xf numFmtId="0" fontId="0" fillId="0" borderId="12" xfId="55" applyFill="1" applyBorder="1">
      <alignment/>
      <protection/>
    </xf>
    <xf numFmtId="48" fontId="0" fillId="0" borderId="10" xfId="55" applyNumberFormat="1" applyFont="1" applyFill="1" applyBorder="1">
      <alignment/>
      <protection/>
    </xf>
    <xf numFmtId="48" fontId="0" fillId="34" borderId="10" xfId="55" applyNumberForma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48" fontId="0" fillId="0" borderId="10" xfId="55" applyNumberFormat="1" applyFont="1" applyFill="1" applyBorder="1">
      <alignment/>
      <protection/>
    </xf>
    <xf numFmtId="48" fontId="3" fillId="0" borderId="0" xfId="55" applyNumberFormat="1" applyFont="1" applyFill="1" applyBorder="1">
      <alignment/>
      <protection/>
    </xf>
    <xf numFmtId="48" fontId="3" fillId="0" borderId="0" xfId="55" applyNumberFormat="1" applyFont="1" applyFill="1" applyBorder="1" applyProtection="1">
      <alignment/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0" fillId="37" borderId="10" xfId="0" applyFill="1" applyBorder="1" applyAlignment="1" applyProtection="1">
      <alignment/>
      <protection/>
    </xf>
    <xf numFmtId="48" fontId="0" fillId="38" borderId="12" xfId="55" applyNumberFormat="1" applyFill="1" applyBorder="1">
      <alignment/>
      <protection/>
    </xf>
    <xf numFmtId="2" fontId="0" fillId="0" borderId="0" xfId="58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8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55" applyFont="1" applyFill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0" fontId="3" fillId="33" borderId="12" xfId="55" applyFont="1" applyFill="1" applyBorder="1" applyProtection="1">
      <alignment/>
      <protection locked="0"/>
    </xf>
    <xf numFmtId="0" fontId="3" fillId="34" borderId="10" xfId="55" applyFont="1" applyFill="1" applyBorder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48" fontId="3" fillId="38" borderId="10" xfId="55" applyNumberFormat="1" applyFont="1" applyFill="1" applyBorder="1">
      <alignment/>
      <protection/>
    </xf>
    <xf numFmtId="173" fontId="3" fillId="33" borderId="10" xfId="55" applyNumberFormat="1" applyFont="1" applyFill="1" applyBorder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48" fontId="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37" borderId="10" xfId="0" applyFont="1" applyFill="1" applyBorder="1" applyAlignment="1" applyProtection="1">
      <alignment/>
      <protection/>
    </xf>
    <xf numFmtId="11" fontId="0" fillId="35" borderId="13" xfId="55" applyNumberFormat="1" applyFill="1" applyBorder="1">
      <alignment/>
      <protection/>
    </xf>
    <xf numFmtId="0" fontId="0" fillId="33" borderId="10" xfId="0" applyFill="1" applyBorder="1" applyAlignment="1" applyProtection="1">
      <alignment/>
      <protection locked="0"/>
    </xf>
    <xf numFmtId="2" fontId="3" fillId="34" borderId="10" xfId="55" applyNumberFormat="1" applyFont="1" applyFill="1" applyBorder="1" applyProtection="1">
      <alignment/>
      <protection hidden="1"/>
    </xf>
    <xf numFmtId="2" fontId="3" fillId="34" borderId="10" xfId="58" applyNumberFormat="1" applyFont="1" applyFill="1" applyBorder="1" applyAlignment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/>
      <protection hidden="1"/>
    </xf>
    <xf numFmtId="2" fontId="3" fillId="34" borderId="12" xfId="55" applyNumberFormat="1" applyFont="1" applyFill="1" applyBorder="1" applyProtection="1">
      <alignment/>
      <protection hidden="1"/>
    </xf>
    <xf numFmtId="2" fontId="3" fillId="34" borderId="0" xfId="0" applyNumberFormat="1" applyFont="1" applyFill="1" applyAlignment="1" applyProtection="1">
      <alignment/>
      <protection hidden="1"/>
    </xf>
    <xf numFmtId="48" fontId="3" fillId="34" borderId="10" xfId="55" applyNumberFormat="1" applyFont="1" applyFill="1" applyBorder="1" applyProtection="1">
      <alignment/>
      <protection hidden="1"/>
    </xf>
    <xf numFmtId="9" fontId="3" fillId="34" borderId="10" xfId="58" applyFont="1" applyFill="1" applyBorder="1" applyAlignment="1" applyProtection="1">
      <alignment/>
      <protection hidden="1"/>
    </xf>
    <xf numFmtId="174" fontId="3" fillId="34" borderId="10" xfId="55" applyNumberFormat="1" applyFont="1" applyFill="1" applyBorder="1" applyProtection="1">
      <alignment/>
      <protection hidden="1"/>
    </xf>
    <xf numFmtId="0" fontId="0" fillId="0" borderId="11" xfId="55" applyBorder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11" fontId="0" fillId="0" borderId="10" xfId="55" applyNumberFormat="1" applyFont="1" applyFill="1" applyBorder="1">
      <alignment/>
      <protection/>
    </xf>
    <xf numFmtId="1" fontId="3" fillId="34" borderId="10" xfId="55" applyNumberFormat="1" applyFont="1" applyFill="1" applyBorder="1">
      <alignment/>
      <protection/>
    </xf>
    <xf numFmtId="1" fontId="3" fillId="34" borderId="10" xfId="55" applyNumberFormat="1" applyFont="1" applyFill="1" applyBorder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tter 163_calc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47</xdr:row>
      <xdr:rowOff>38100</xdr:rowOff>
    </xdr:from>
    <xdr:to>
      <xdr:col>12</xdr:col>
      <xdr:colOff>0</xdr:colOff>
      <xdr:row>57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362575" y="7239000"/>
          <a:ext cx="3228975" cy="1381125"/>
          <a:chOff x="107" y="143"/>
          <a:chExt cx="278" cy="7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129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92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57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20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28" y="187"/>
            <a:ext cx="256" cy="0"/>
          </a:xfrm>
          <a:prstGeom prst="line">
            <a:avLst/>
          </a:prstGeom>
          <a:noFill/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35" y="144"/>
            <a:ext cx="6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L,avg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=I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out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50" y="143"/>
            <a:ext cx="3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64" y="157"/>
            <a:ext cx="21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39" y="162"/>
            <a:ext cx="7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07" y="175"/>
            <a:ext cx="3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∆i</a:t>
            </a:r>
            <a:r>
              <a:rPr lang="en-US" cap="none" sz="10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19" y="15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19" y="20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110" y="170"/>
            <a:ext cx="27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0" y="204"/>
            <a:ext cx="2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0</xdr:colOff>
      <xdr:row>27</xdr:row>
      <xdr:rowOff>9525</xdr:rowOff>
    </xdr:from>
    <xdr:to>
      <xdr:col>15</xdr:col>
      <xdr:colOff>0</xdr:colOff>
      <xdr:row>28</xdr:row>
      <xdr:rowOff>9525</xdr:rowOff>
    </xdr:to>
    <xdr:pic>
      <xdr:nvPicPr>
        <xdr:cNvPr id="16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057650"/>
          <a:ext cx="2438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28</xdr:row>
      <xdr:rowOff>9525</xdr:rowOff>
    </xdr:from>
    <xdr:to>
      <xdr:col>15</xdr:col>
      <xdr:colOff>0</xdr:colOff>
      <xdr:row>29</xdr:row>
      <xdr:rowOff>9525</xdr:rowOff>
    </xdr:to>
    <xdr:pic>
      <xdr:nvPicPr>
        <xdr:cNvPr id="17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4219575"/>
          <a:ext cx="2428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4</xdr:col>
      <xdr:colOff>419100</xdr:colOff>
      <xdr:row>22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6195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42</xdr:row>
      <xdr:rowOff>47625</xdr:rowOff>
    </xdr:from>
    <xdr:to>
      <xdr:col>14</xdr:col>
      <xdr:colOff>38100</xdr:colOff>
      <xdr:row>52</xdr:row>
      <xdr:rowOff>133350</xdr:rowOff>
    </xdr:to>
    <xdr:grpSp>
      <xdr:nvGrpSpPr>
        <xdr:cNvPr id="2" name="Group 9"/>
        <xdr:cNvGrpSpPr>
          <a:grpSpLocks/>
        </xdr:cNvGrpSpPr>
      </xdr:nvGrpSpPr>
      <xdr:grpSpPr>
        <a:xfrm>
          <a:off x="7553325" y="6372225"/>
          <a:ext cx="1828800" cy="1609725"/>
          <a:chOff x="661" y="846"/>
          <a:chExt cx="270" cy="162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661" y="846"/>
            <a:ext cx="270" cy="162"/>
            <a:chOff x="569" y="713"/>
            <a:chExt cx="270" cy="162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720" y="809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2"/>
            <xdr:cNvSpPr>
              <a:spLocks/>
            </xdr:cNvSpPr>
          </xdr:nvSpPr>
          <xdr:spPr>
            <a:xfrm>
              <a:off x="712" y="739"/>
              <a:ext cx="1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569" y="713"/>
              <a:ext cx="270" cy="162"/>
              <a:chOff x="568" y="713"/>
              <a:chExt cx="270" cy="162"/>
            </a:xfrm>
            <a:solidFill>
              <a:srgbClr val="FFFFFF"/>
            </a:solidFill>
          </xdr:grpSpPr>
          <xdr:grpSp>
            <xdr:nvGrpSpPr>
              <xdr:cNvPr id="7" name="Group 14"/>
              <xdr:cNvGrpSpPr>
                <a:grpSpLocks/>
              </xdr:cNvGrpSpPr>
            </xdr:nvGrpSpPr>
            <xdr:grpSpPr>
              <a:xfrm>
                <a:off x="568" y="729"/>
                <a:ext cx="257" cy="146"/>
                <a:chOff x="813" y="198"/>
                <a:chExt cx="257" cy="146"/>
              </a:xfrm>
              <a:solidFill>
                <a:srgbClr val="FFFFFF"/>
              </a:solidFill>
            </xdr:grpSpPr>
            <xdr:sp>
              <xdr:nvSpPr>
                <xdr:cNvPr id="8" name="Line 15"/>
                <xdr:cNvSpPr>
                  <a:spLocks/>
                </xdr:cNvSpPr>
              </xdr:nvSpPr>
              <xdr:spPr>
                <a:xfrm flipV="1">
                  <a:off x="814" y="198"/>
                  <a:ext cx="64" cy="34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16"/>
                <xdr:cNvSpPr>
                  <a:spLocks/>
                </xdr:cNvSpPr>
              </xdr:nvSpPr>
              <xdr:spPr>
                <a:xfrm>
                  <a:off x="877" y="199"/>
                  <a:ext cx="64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7"/>
                <xdr:cNvSpPr>
                  <a:spLocks/>
                </xdr:cNvSpPr>
              </xdr:nvSpPr>
              <xdr:spPr>
                <a:xfrm flipV="1">
                  <a:off x="942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18"/>
                <xdr:cNvSpPr>
                  <a:spLocks/>
                </xdr:cNvSpPr>
              </xdr:nvSpPr>
              <xdr:spPr>
                <a:xfrm>
                  <a:off x="1006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9"/>
                <xdr:cNvSpPr>
                  <a:spLocks/>
                </xdr:cNvSpPr>
              </xdr:nvSpPr>
              <xdr:spPr>
                <a:xfrm>
                  <a:off x="813" y="249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20"/>
                <xdr:cNvSpPr>
                  <a:spLocks/>
                </xdr:cNvSpPr>
              </xdr:nvSpPr>
              <xdr:spPr>
                <a:xfrm>
                  <a:off x="813" y="198"/>
                  <a:ext cx="0" cy="51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21"/>
                <xdr:cNvSpPr>
                  <a:spLocks/>
                </xdr:cNvSpPr>
              </xdr:nvSpPr>
              <xdr:spPr>
                <a:xfrm>
                  <a:off x="813" y="249"/>
                  <a:ext cx="0" cy="95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5" name="Group 22"/>
                <xdr:cNvGrpSpPr>
                  <a:grpSpLocks/>
                </xdr:cNvGrpSpPr>
              </xdr:nvGrpSpPr>
              <xdr:grpSpPr>
                <a:xfrm>
                  <a:off x="813" y="266"/>
                  <a:ext cx="257" cy="51"/>
                  <a:chOff x="813" y="266"/>
                  <a:chExt cx="257" cy="51"/>
                </a:xfrm>
                <a:solidFill>
                  <a:srgbClr val="FFFFFF"/>
                </a:solidFill>
              </xdr:grpSpPr>
              <xdr:sp>
                <xdr:nvSpPr>
                  <xdr:cNvPr id="16" name="Line 23"/>
                  <xdr:cNvSpPr>
                    <a:spLocks/>
                  </xdr:cNvSpPr>
                </xdr:nvSpPr>
                <xdr:spPr>
                  <a:xfrm>
                    <a:off x="877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Line 24"/>
                  <xdr:cNvSpPr>
                    <a:spLocks/>
                  </xdr:cNvSpPr>
                </xdr:nvSpPr>
                <xdr:spPr>
                  <a:xfrm>
                    <a:off x="1005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Line 25"/>
                  <xdr:cNvSpPr>
                    <a:spLocks/>
                  </xdr:cNvSpPr>
                </xdr:nvSpPr>
                <xdr:spPr>
                  <a:xfrm>
                    <a:off x="877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Line 26"/>
                  <xdr:cNvSpPr>
                    <a:spLocks/>
                  </xdr:cNvSpPr>
                </xdr:nvSpPr>
                <xdr:spPr>
                  <a:xfrm>
                    <a:off x="813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Line 27"/>
                  <xdr:cNvSpPr>
                    <a:spLocks/>
                  </xdr:cNvSpPr>
                </xdr:nvSpPr>
                <xdr:spPr>
                  <a:xfrm>
                    <a:off x="941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Line 28"/>
                  <xdr:cNvSpPr>
                    <a:spLocks/>
                  </xdr:cNvSpPr>
                </xdr:nvSpPr>
                <xdr:spPr>
                  <a:xfrm>
                    <a:off x="941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Line 29"/>
                  <xdr:cNvSpPr>
                    <a:spLocks/>
                  </xdr:cNvSpPr>
                </xdr:nvSpPr>
                <xdr:spPr>
                  <a:xfrm>
                    <a:off x="1069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0"/>
                  <xdr:cNvSpPr>
                    <a:spLocks/>
                  </xdr:cNvSpPr>
                </xdr:nvSpPr>
                <xdr:spPr>
                  <a:xfrm>
                    <a:off x="813" y="297"/>
                    <a:ext cx="25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1"/>
                  <xdr:cNvSpPr>
                    <a:spLocks/>
                  </xdr:cNvSpPr>
                </xdr:nvSpPr>
                <xdr:spPr>
                  <a:xfrm>
                    <a:off x="1005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5" name="Line 32"/>
                <xdr:cNvSpPr>
                  <a:spLocks/>
                </xdr:cNvSpPr>
              </xdr:nvSpPr>
              <xdr:spPr>
                <a:xfrm>
                  <a:off x="813" y="320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6" name="Text Box 33"/>
              <xdr:cNvSpPr txBox="1">
                <a:spLocks noChangeArrowheads="1"/>
              </xdr:cNvSpPr>
            </xdr:nvSpPr>
            <xdr:spPr>
              <a:xfrm>
                <a:off x="695" y="721"/>
                <a:ext cx="18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</a:t>
                </a:r>
              </a:p>
            </xdr:txBody>
          </xdr:sp>
          <xdr:sp>
            <xdr:nvSpPr>
              <xdr:cNvPr id="27" name="Text Box 34"/>
              <xdr:cNvSpPr txBox="1">
                <a:spLocks noChangeArrowheads="1"/>
              </xdr:cNvSpPr>
            </xdr:nvSpPr>
            <xdr:spPr>
              <a:xfrm>
                <a:off x="778" y="787"/>
                <a:ext cx="44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</a:t>
                </a:r>
              </a:p>
            </xdr:txBody>
          </xdr:sp>
          <xdr:sp>
            <xdr:nvSpPr>
              <xdr:cNvPr id="28" name="Text Box 35"/>
              <xdr:cNvSpPr txBox="1">
                <a:spLocks noChangeArrowheads="1"/>
              </xdr:cNvSpPr>
            </xdr:nvSpPr>
            <xdr:spPr>
              <a:xfrm>
                <a:off x="671" y="788"/>
                <a:ext cx="103" cy="3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Out=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Diode,avg</a:t>
                </a:r>
              </a:p>
            </xdr:txBody>
          </xdr:sp>
          <xdr:sp>
            <xdr:nvSpPr>
              <xdr:cNvPr id="29" name="Line 36"/>
              <xdr:cNvSpPr>
                <a:spLocks/>
              </xdr:cNvSpPr>
            </xdr:nvSpPr>
            <xdr:spPr>
              <a:xfrm>
                <a:off x="768" y="728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7"/>
              <xdr:cNvSpPr>
                <a:spLocks/>
              </xdr:cNvSpPr>
            </xdr:nvSpPr>
            <xdr:spPr>
              <a:xfrm>
                <a:off x="769" y="763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38"/>
              <xdr:cNvSpPr>
                <a:spLocks/>
              </xdr:cNvSpPr>
            </xdr:nvSpPr>
            <xdr:spPr>
              <a:xfrm>
                <a:off x="796" y="71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39"/>
              <xdr:cNvSpPr>
                <a:spLocks/>
              </xdr:cNvSpPr>
            </xdr:nvSpPr>
            <xdr:spPr>
              <a:xfrm flipV="1">
                <a:off x="796" y="763"/>
                <a:ext cx="0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Text Box 40"/>
              <xdr:cNvSpPr txBox="1">
                <a:spLocks noChangeArrowheads="1"/>
              </xdr:cNvSpPr>
            </xdr:nvSpPr>
            <xdr:spPr>
              <a:xfrm>
                <a:off x="785" y="729"/>
                <a:ext cx="53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L,ripple</a:t>
                </a:r>
              </a:p>
            </xdr:txBody>
          </xdr:sp>
        </xdr:grpSp>
      </xdr:grpSp>
      <xdr:sp>
        <xdr:nvSpPr>
          <xdr:cNvPr id="34" name="Line 41"/>
          <xdr:cNvSpPr>
            <a:spLocks/>
          </xdr:cNvSpPr>
        </xdr:nvSpPr>
        <xdr:spPr>
          <a:xfrm>
            <a:off x="885" y="938"/>
            <a:ext cx="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9525</xdr:colOff>
      <xdr:row>28</xdr:row>
      <xdr:rowOff>9525</xdr:rowOff>
    </xdr:from>
    <xdr:to>
      <xdr:col>13</xdr:col>
      <xdr:colOff>552450</xdr:colOff>
      <xdr:row>28</xdr:row>
      <xdr:rowOff>161925</xdr:rowOff>
    </xdr:to>
    <xdr:pic>
      <xdr:nvPicPr>
        <xdr:cNvPr id="35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191000"/>
          <a:ext cx="2419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</xdr:row>
      <xdr:rowOff>152400</xdr:rowOff>
    </xdr:from>
    <xdr:to>
      <xdr:col>13</xdr:col>
      <xdr:colOff>552450</xdr:colOff>
      <xdr:row>29</xdr:row>
      <xdr:rowOff>152400</xdr:rowOff>
    </xdr:to>
    <xdr:pic>
      <xdr:nvPicPr>
        <xdr:cNvPr id="3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4333875"/>
          <a:ext cx="2419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58"/>
  <sheetViews>
    <sheetView showGridLines="0" zoomScale="145" zoomScaleNormal="145" zoomScalePageLayoutView="0" workbookViewId="0" topLeftCell="A44">
      <selection activeCell="B60" sqref="B60"/>
    </sheetView>
  </sheetViews>
  <sheetFormatPr defaultColWidth="9.140625" defaultRowHeight="12.75"/>
  <cols>
    <col min="1" max="1" width="14.7109375" style="0" customWidth="1"/>
    <col min="2" max="2" width="10.140625" style="0" customWidth="1"/>
    <col min="6" max="6" width="21.7109375" style="0" customWidth="1"/>
  </cols>
  <sheetData>
    <row r="1" spans="1:18" ht="18">
      <c r="A1" s="1" t="s">
        <v>0</v>
      </c>
      <c r="R1" t="s">
        <v>119</v>
      </c>
    </row>
    <row r="2" ht="12.75">
      <c r="A2" s="2"/>
    </row>
    <row r="3" spans="1:11" ht="15.75">
      <c r="A3" s="2"/>
      <c r="H3" s="3" t="s">
        <v>115</v>
      </c>
      <c r="K3" s="77" t="s">
        <v>3</v>
      </c>
    </row>
    <row r="4" spans="1:14" ht="12.75" hidden="1">
      <c r="A4" s="2"/>
      <c r="F4" s="55"/>
      <c r="G4" s="56"/>
      <c r="H4" s="56"/>
      <c r="I4" s="55" t="b">
        <f>EXACT(K3,I5)</f>
        <v>0</v>
      </c>
      <c r="J4" s="55" t="b">
        <f>EXACT(K3,J5)</f>
        <v>1</v>
      </c>
      <c r="K4" s="55" t="b">
        <f>EXACT(K3,K5)</f>
        <v>0</v>
      </c>
      <c r="L4" s="55"/>
      <c r="M4" s="55"/>
      <c r="N4" s="54"/>
    </row>
    <row r="5" spans="1:14" ht="12.75">
      <c r="A5" s="2"/>
      <c r="G5" s="87" t="s">
        <v>2</v>
      </c>
      <c r="H5" s="87"/>
      <c r="I5" s="87" t="s">
        <v>1</v>
      </c>
      <c r="J5" s="87" t="s">
        <v>3</v>
      </c>
      <c r="K5" s="87" t="s">
        <v>4</v>
      </c>
      <c r="L5" s="87" t="s">
        <v>114</v>
      </c>
      <c r="M5" s="54"/>
      <c r="N5" s="54"/>
    </row>
    <row r="6" spans="1:14" ht="12.75">
      <c r="A6" s="2"/>
      <c r="G6" s="57" t="s">
        <v>5</v>
      </c>
      <c r="H6" s="57"/>
      <c r="I6" s="57">
        <v>107</v>
      </c>
      <c r="J6" s="57">
        <v>123</v>
      </c>
      <c r="K6" s="57">
        <v>47</v>
      </c>
      <c r="L6" s="89">
        <v>90</v>
      </c>
      <c r="M6" s="54" t="s">
        <v>86</v>
      </c>
      <c r="N6" s="54"/>
    </row>
    <row r="7" spans="1:14" ht="12.75">
      <c r="A7" s="2"/>
      <c r="G7" s="57" t="s">
        <v>6</v>
      </c>
      <c r="H7" s="57"/>
      <c r="I7" s="57">
        <v>150</v>
      </c>
      <c r="J7" s="57">
        <v>150</v>
      </c>
      <c r="K7" s="57">
        <v>150</v>
      </c>
      <c r="L7" s="57">
        <v>150</v>
      </c>
      <c r="M7" s="54"/>
      <c r="N7" s="54"/>
    </row>
    <row r="8" spans="1:14" ht="14.25" customHeight="1">
      <c r="A8" s="2"/>
      <c r="G8" s="57" t="s">
        <v>7</v>
      </c>
      <c r="H8" s="57"/>
      <c r="I8" s="57">
        <v>0.95</v>
      </c>
      <c r="J8" s="57">
        <v>0.625</v>
      </c>
      <c r="K8" s="57">
        <v>1.2</v>
      </c>
      <c r="L8" s="89">
        <v>0.625</v>
      </c>
      <c r="M8" s="54"/>
      <c r="N8" s="54"/>
    </row>
    <row r="9" spans="1:14" ht="12.75" hidden="1">
      <c r="A9" s="2"/>
      <c r="G9" s="53">
        <f>IF($I$4,I6,IF($J$4,J6,IF($K$4,K6,L6)))</f>
        <v>123</v>
      </c>
      <c r="H9" s="53"/>
      <c r="I9" s="54"/>
      <c r="J9" s="54"/>
      <c r="K9" s="54"/>
      <c r="L9" s="54"/>
      <c r="M9" s="54"/>
      <c r="N9" s="54"/>
    </row>
    <row r="10" spans="1:14" ht="12.75" hidden="1">
      <c r="A10" s="2"/>
      <c r="G10" s="53">
        <f>IF($I$4,I8,IF($J$4,J8,IF($K$4,K8,L8)))</f>
        <v>0.625</v>
      </c>
      <c r="H10" s="53"/>
      <c r="I10" s="54"/>
      <c r="J10" s="54"/>
      <c r="K10" s="54"/>
      <c r="L10" s="54"/>
      <c r="M10" s="54"/>
      <c r="N10" s="54"/>
    </row>
    <row r="11" spans="1:16" ht="12.75">
      <c r="A11" s="2"/>
      <c r="I11" s="54"/>
      <c r="J11" s="54"/>
      <c r="K11" s="54"/>
      <c r="L11" s="54"/>
      <c r="M11" s="54"/>
      <c r="N11" s="54"/>
      <c r="O11" s="53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  <c r="P11" s="54"/>
    </row>
    <row r="12" spans="1:8" ht="12.75">
      <c r="A12" s="2"/>
      <c r="G12" s="6"/>
      <c r="H12" s="6"/>
    </row>
    <row r="13" spans="1:8" ht="12.75">
      <c r="A13" s="2"/>
      <c r="G13" s="6" t="s">
        <v>103</v>
      </c>
      <c r="H13" s="6"/>
    </row>
    <row r="14" spans="1:12" ht="12.75">
      <c r="A14" s="2"/>
      <c r="G14" s="15" t="s">
        <v>23</v>
      </c>
      <c r="H14" s="90">
        <f>150-(B95*G9)</f>
        <v>119.63316496361666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</row>
    <row r="15" spans="1:16" ht="12.75">
      <c r="A15" s="2"/>
      <c r="G15" s="28" t="s">
        <v>27</v>
      </c>
      <c r="H15" s="92">
        <f>B95</f>
        <v>0.24688483769417346</v>
      </c>
      <c r="I15" s="5" t="s">
        <v>28</v>
      </c>
      <c r="J15" s="85" t="str">
        <f>IF(H15&gt;G10,"&lt;-- High Power Dissipation!!! ","&lt;-- Power Dissipation at the device")</f>
        <v>&lt;-- Power Dissipation at the device</v>
      </c>
      <c r="K15" s="86"/>
      <c r="L15" s="85"/>
      <c r="M15" s="85"/>
      <c r="N15" s="85"/>
      <c r="O15" s="85"/>
      <c r="P15" s="85"/>
    </row>
    <row r="16" ht="12.75">
      <c r="A16" s="2"/>
    </row>
    <row r="17" spans="1:7" ht="12.75">
      <c r="A17" s="2"/>
      <c r="G17" t="s">
        <v>117</v>
      </c>
    </row>
    <row r="18" spans="1:7" ht="12.75">
      <c r="A18" s="2"/>
      <c r="G18" t="s">
        <v>118</v>
      </c>
    </row>
    <row r="19" spans="1:7" ht="12.75">
      <c r="A19" s="2"/>
      <c r="G19" t="s">
        <v>106</v>
      </c>
    </row>
    <row r="20" ht="12.75">
      <c r="A20" s="2"/>
    </row>
    <row r="21" ht="12.75">
      <c r="A21" s="2"/>
    </row>
    <row r="22" spans="1:2" ht="15.75">
      <c r="A22" s="84" t="s">
        <v>8</v>
      </c>
      <c r="B22" s="7"/>
    </row>
    <row r="23" ht="12.75">
      <c r="A23" s="8"/>
    </row>
    <row r="24" spans="1:3" ht="12.75">
      <c r="A24" s="9"/>
      <c r="B24" s="10" t="s">
        <v>9</v>
      </c>
      <c r="C24" s="10"/>
    </row>
    <row r="25" spans="1:3" ht="12.75">
      <c r="A25" s="11"/>
      <c r="B25" s="10" t="s">
        <v>10</v>
      </c>
      <c r="C25" s="10"/>
    </row>
    <row r="26" spans="1:2" ht="12.75">
      <c r="A26" s="67"/>
      <c r="B26" s="10" t="s">
        <v>102</v>
      </c>
    </row>
    <row r="27" spans="1:12" ht="12.75">
      <c r="A27" s="12"/>
      <c r="B27" s="13"/>
      <c r="C27" s="14" t="s">
        <v>11</v>
      </c>
      <c r="L27" t="s">
        <v>104</v>
      </c>
    </row>
    <row r="28" spans="1:8" ht="12.75">
      <c r="A28" s="15" t="s">
        <v>12</v>
      </c>
      <c r="B28" s="74">
        <v>25</v>
      </c>
      <c r="C28" s="15" t="s">
        <v>13</v>
      </c>
      <c r="D28" t="str">
        <f>IF(B28-B38-0.5&lt;B29,"    Low Input Voltage","&lt;-- Worst Case Input Voltage (usually minimum Vin)")</f>
        <v>&lt;-- Worst Case Input Voltage (usually minimum Vin)</v>
      </c>
      <c r="H28" s="16" t="s">
        <v>111</v>
      </c>
    </row>
    <row r="29" spans="1:8" ht="12.75">
      <c r="A29" s="15" t="s">
        <v>14</v>
      </c>
      <c r="B29" s="74">
        <v>5</v>
      </c>
      <c r="C29" s="15" t="s">
        <v>13</v>
      </c>
      <c r="D29" t="s">
        <v>15</v>
      </c>
      <c r="H29" s="16" t="s">
        <v>16</v>
      </c>
    </row>
    <row r="30" spans="1:9" ht="12.75">
      <c r="A30" s="15" t="s">
        <v>17</v>
      </c>
      <c r="B30" s="74">
        <v>0.5</v>
      </c>
      <c r="C30" s="15" t="s">
        <v>18</v>
      </c>
      <c r="D30" t="str">
        <f>IF(B66&lt;1.5,"&lt;-- Desired Output Current","WARING: Requested Output Current is out of allowed range")</f>
        <v>&lt;-- Desired Output Current</v>
      </c>
      <c r="H30" s="17"/>
      <c r="I30" s="18"/>
    </row>
    <row r="31" spans="1:4" ht="12.75">
      <c r="A31" s="15" t="s">
        <v>19</v>
      </c>
      <c r="B31" s="91">
        <f>B33*100</f>
        <v>23.12019404448573</v>
      </c>
      <c r="C31" s="44" t="s">
        <v>33</v>
      </c>
      <c r="D31" t="s">
        <v>116</v>
      </c>
    </row>
    <row r="32" spans="1:3" ht="12.75">
      <c r="A32" s="46"/>
      <c r="B32" s="59"/>
      <c r="C32" s="21"/>
    </row>
    <row r="33" spans="1:78" ht="12.75" hidden="1">
      <c r="A33" s="20"/>
      <c r="B33" s="58">
        <f>B64/(B64+B77)</f>
        <v>0.23120194044485728</v>
      </c>
      <c r="C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ht="15.75">
      <c r="A34" s="82" t="s">
        <v>20</v>
      </c>
      <c r="B34" s="24"/>
      <c r="C34" s="24"/>
      <c r="D34" s="22"/>
      <c r="E34" s="22"/>
      <c r="F34" s="22"/>
      <c r="G34" s="22"/>
      <c r="H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ht="12.75">
      <c r="A35" s="25"/>
      <c r="B35" s="24"/>
      <c r="C35" s="24"/>
      <c r="D35" s="22"/>
      <c r="E35" s="22"/>
      <c r="F35" s="22"/>
      <c r="G35" s="22"/>
      <c r="H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ht="12.75">
      <c r="A36" s="24"/>
      <c r="B36" s="24"/>
      <c r="C36" s="14" t="s">
        <v>11</v>
      </c>
      <c r="D36" s="22"/>
      <c r="E36" s="22"/>
      <c r="F36" s="22"/>
      <c r="G36" s="22"/>
      <c r="H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4" ht="12.75">
      <c r="A37" s="15" t="s">
        <v>21</v>
      </c>
      <c r="B37" s="74">
        <v>0.6</v>
      </c>
      <c r="C37" s="15" t="s">
        <v>13</v>
      </c>
      <c r="D37" t="s">
        <v>22</v>
      </c>
    </row>
    <row r="38" spans="1:4" ht="12.75">
      <c r="A38" s="26" t="s">
        <v>25</v>
      </c>
      <c r="B38" s="90">
        <f>0.225*B66+1.21</f>
        <v>1.37875</v>
      </c>
      <c r="C38" s="27" t="s">
        <v>13</v>
      </c>
      <c r="D38" t="s">
        <v>26</v>
      </c>
    </row>
    <row r="39" spans="1:5" ht="12.75">
      <c r="A39" s="24"/>
      <c r="B39" s="73" t="s">
        <v>101</v>
      </c>
      <c r="C39" s="24"/>
      <c r="E39" s="10" t="s">
        <v>29</v>
      </c>
    </row>
    <row r="40" spans="1:78" ht="12.75">
      <c r="A40" s="24"/>
      <c r="B40" s="24"/>
      <c r="C40" s="24"/>
      <c r="D40" s="22"/>
      <c r="E40" s="30" t="s">
        <v>30</v>
      </c>
      <c r="F40" s="22"/>
      <c r="G40" s="22"/>
      <c r="H40" s="22"/>
      <c r="I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78" ht="12.75">
      <c r="A41" s="24"/>
      <c r="B41" s="24"/>
      <c r="C41" s="24"/>
      <c r="D41" s="22"/>
      <c r="E41" s="30"/>
      <c r="F41" s="22"/>
      <c r="G41" s="22"/>
      <c r="H41" s="22"/>
      <c r="I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</row>
    <row r="42" spans="1:78" ht="15.75">
      <c r="A42" s="71" t="s">
        <v>100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</row>
    <row r="43" spans="1:78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</row>
    <row r="44" spans="1:78" ht="12.75">
      <c r="A44" s="2" t="s">
        <v>107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78" ht="12.75">
      <c r="A45" s="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ht="12.75">
      <c r="A46" s="2" t="s">
        <v>109</v>
      </c>
      <c r="B46" s="24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ht="12.75">
      <c r="A47" s="2"/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</row>
    <row r="48" spans="1:78" ht="12.75">
      <c r="A48" s="31"/>
      <c r="B48" s="31"/>
      <c r="C48" s="14" t="s">
        <v>11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</row>
    <row r="49" spans="1:4" ht="12.75">
      <c r="A49" s="32" t="s">
        <v>32</v>
      </c>
      <c r="B49" s="75">
        <v>100</v>
      </c>
      <c r="C49" s="27" t="s">
        <v>33</v>
      </c>
      <c r="D49" t="s">
        <v>34</v>
      </c>
    </row>
    <row r="50" spans="1:4" ht="12.75">
      <c r="A50" s="27" t="s">
        <v>35</v>
      </c>
      <c r="B50" s="76">
        <f>B30*B49/100</f>
        <v>0.5</v>
      </c>
      <c r="C50" s="27" t="s">
        <v>18</v>
      </c>
      <c r="D50" t="s">
        <v>36</v>
      </c>
    </row>
    <row r="51" spans="1:3" ht="12.75" hidden="1">
      <c r="A51" s="24"/>
      <c r="B51" s="29"/>
      <c r="C51" s="24"/>
    </row>
    <row r="52" spans="1:78" ht="12.75">
      <c r="A52" s="24"/>
      <c r="B52" s="24"/>
      <c r="C52" s="2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ht="15.75">
      <c r="A53" s="82" t="s">
        <v>37</v>
      </c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ht="12.75">
      <c r="A54" s="24"/>
      <c r="B54" s="24"/>
      <c r="C54" s="14" t="s">
        <v>11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12" ht="12.75">
      <c r="A55" s="15" t="s">
        <v>38</v>
      </c>
      <c r="B55" s="77">
        <v>20</v>
      </c>
      <c r="C55" s="33" t="s">
        <v>39</v>
      </c>
      <c r="D55" s="105" t="s">
        <v>40</v>
      </c>
      <c r="E55" s="34"/>
      <c r="F55" s="34"/>
      <c r="G55" s="34"/>
      <c r="H55" s="34"/>
      <c r="I55" s="34"/>
      <c r="J55" s="34"/>
      <c r="K55" s="34"/>
      <c r="L55" s="34"/>
    </row>
    <row r="56" spans="1:3" s="62" customFormat="1" ht="12.75" hidden="1">
      <c r="A56" s="26"/>
      <c r="B56" s="35">
        <f>B55*1000</f>
        <v>20000</v>
      </c>
      <c r="C56" s="106"/>
    </row>
    <row r="57" spans="1:11" ht="12.75">
      <c r="A57" s="103" t="s">
        <v>112</v>
      </c>
      <c r="B57" s="107">
        <f>40*B63</f>
        <v>462.4038808897145</v>
      </c>
      <c r="C57" s="104" t="s">
        <v>120</v>
      </c>
      <c r="K57" s="38" t="s">
        <v>41</v>
      </c>
    </row>
    <row r="58" ht="12.75">
      <c r="K58" s="38" t="s">
        <v>42</v>
      </c>
    </row>
    <row r="59" spans="1:3" ht="15.75">
      <c r="A59" s="82" t="s">
        <v>43</v>
      </c>
      <c r="B59" s="39"/>
      <c r="C59" s="39"/>
    </row>
    <row r="60" spans="1:11" ht="12.75">
      <c r="A60" s="2"/>
      <c r="K60" s="40"/>
    </row>
    <row r="61" spans="1:11" ht="12.75">
      <c r="A61" s="31"/>
      <c r="B61" s="41"/>
      <c r="C61" s="14" t="s">
        <v>11</v>
      </c>
      <c r="K61" s="42"/>
    </row>
    <row r="62" spans="1:3" ht="12.75">
      <c r="A62" s="43" t="s">
        <v>44</v>
      </c>
      <c r="B62" s="94">
        <f>(B29+B37)/(B28-B38-B29)</f>
        <v>0.30073169094448543</v>
      </c>
      <c r="C62" s="44"/>
    </row>
    <row r="63" spans="1:11" ht="12.75">
      <c r="A63" s="26" t="s">
        <v>45</v>
      </c>
      <c r="B63" s="95">
        <f>B64*1000000</f>
        <v>11.560097022242863</v>
      </c>
      <c r="C63" s="44" t="s">
        <v>87</v>
      </c>
      <c r="E63" s="40"/>
      <c r="K63" s="40"/>
    </row>
    <row r="64" spans="1:11" ht="12.75" hidden="1">
      <c r="A64" s="26"/>
      <c r="B64" s="96">
        <f>B62/(B56*(B62+1))</f>
        <v>1.1560097022242863E-05</v>
      </c>
      <c r="C64" s="44"/>
      <c r="K64" s="40"/>
    </row>
    <row r="65" spans="1:11" ht="12.75">
      <c r="A65" s="15" t="s">
        <v>46</v>
      </c>
      <c r="B65" s="90">
        <f>B30</f>
        <v>0.5</v>
      </c>
      <c r="C65" s="44" t="s">
        <v>18</v>
      </c>
      <c r="D65" t="s">
        <v>47</v>
      </c>
      <c r="K65" s="40"/>
    </row>
    <row r="66" spans="1:17" ht="12.75">
      <c r="A66" s="15" t="s">
        <v>48</v>
      </c>
      <c r="B66" s="90">
        <f>B65+(B50/2)</f>
        <v>0.75</v>
      </c>
      <c r="C66" s="44" t="s">
        <v>18</v>
      </c>
      <c r="D66" t="s">
        <v>49</v>
      </c>
      <c r="K66" s="40"/>
      <c r="L66" s="22"/>
      <c r="M66" s="22"/>
      <c r="N66" s="22"/>
      <c r="O66" s="22"/>
      <c r="P66" s="22"/>
      <c r="Q66" s="22"/>
    </row>
    <row r="67" spans="1:17" ht="12.75">
      <c r="A67" s="2"/>
      <c r="B67" s="37"/>
      <c r="C67" s="2"/>
      <c r="L67" s="22"/>
      <c r="M67" s="22"/>
      <c r="N67" s="22"/>
      <c r="O67" s="22"/>
      <c r="P67" s="22"/>
      <c r="Q67" s="22"/>
    </row>
    <row r="68" spans="1:78" ht="12.75">
      <c r="A68" s="46"/>
      <c r="B68" s="21"/>
      <c r="C68" s="47" t="s">
        <v>11</v>
      </c>
      <c r="D68" s="22"/>
      <c r="E68" s="22"/>
      <c r="F68" s="22"/>
      <c r="G68" s="22"/>
      <c r="H68" s="22"/>
      <c r="I68" s="22"/>
      <c r="J68" s="22"/>
      <c r="K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78" ht="12.75">
      <c r="A69" s="15" t="s">
        <v>50</v>
      </c>
      <c r="B69" s="93">
        <f>B70*1000</f>
        <v>399.99999999999994</v>
      </c>
      <c r="C69" s="48" t="s">
        <v>51</v>
      </c>
      <c r="D69" t="s">
        <v>52</v>
      </c>
      <c r="E69" s="22"/>
      <c r="F69" s="22"/>
      <c r="G69" s="22"/>
      <c r="H69" s="22"/>
      <c r="I69" s="22"/>
      <c r="J69" s="22"/>
      <c r="K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78" ht="12.75" hidden="1">
      <c r="A70" s="15"/>
      <c r="B70" s="96">
        <f>0.3/B66</f>
        <v>0.39999999999999997</v>
      </c>
      <c r="C70" s="48"/>
      <c r="E70" s="22"/>
      <c r="F70" s="22"/>
      <c r="G70" s="22"/>
      <c r="H70" s="22"/>
      <c r="I70" s="22"/>
      <c r="J70" s="22"/>
      <c r="K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8" ht="12.75">
      <c r="A71" s="15" t="s">
        <v>53</v>
      </c>
      <c r="B71" s="93">
        <f>B72*1000000</f>
        <v>430.5269133508798</v>
      </c>
      <c r="C71" s="48" t="s">
        <v>54</v>
      </c>
      <c r="D71" t="s">
        <v>55</v>
      </c>
      <c r="G71" s="10" t="s">
        <v>56</v>
      </c>
      <c r="H71" s="10"/>
    </row>
    <row r="72" spans="1:3" ht="12.75" hidden="1">
      <c r="A72" s="20"/>
      <c r="B72" s="78">
        <f>((B28-B38-B29)*B64)/B50</f>
        <v>0.0004305269133508798</v>
      </c>
      <c r="C72" s="49"/>
    </row>
    <row r="73" spans="1:4" ht="15.75">
      <c r="A73" s="15" t="s">
        <v>57</v>
      </c>
      <c r="B73" s="79">
        <v>0.19</v>
      </c>
      <c r="C73" s="48" t="s">
        <v>58</v>
      </c>
      <c r="D73" t="s">
        <v>59</v>
      </c>
    </row>
    <row r="74" spans="1:5" ht="18.75" customHeight="1" hidden="1">
      <c r="A74" s="20"/>
      <c r="B74" s="50"/>
      <c r="C74" s="49"/>
      <c r="E74" s="10"/>
    </row>
    <row r="75" spans="1:3" ht="12.75" hidden="1">
      <c r="A75" s="2"/>
      <c r="C75" s="47"/>
    </row>
    <row r="76" spans="1:3" ht="12.75">
      <c r="A76" s="26" t="s">
        <v>60</v>
      </c>
      <c r="B76" s="92">
        <f>B77*1000000</f>
        <v>38.43990297775713</v>
      </c>
      <c r="C76" s="44" t="s">
        <v>87</v>
      </c>
    </row>
    <row r="77" spans="1:3" ht="12.75" hidden="1">
      <c r="A77" s="26"/>
      <c r="B77" s="45">
        <f>B64*(1/B62)</f>
        <v>3.843990297775713E-05</v>
      </c>
      <c r="C77" s="44"/>
    </row>
    <row r="78" ht="12.75">
      <c r="A78" s="2"/>
    </row>
    <row r="79" ht="12.75" hidden="1">
      <c r="A79" s="2"/>
    </row>
    <row r="80" spans="1:78" ht="12.75" hidden="1">
      <c r="A80" s="46"/>
      <c r="B80" s="21"/>
      <c r="C80" s="21"/>
      <c r="D80" s="2"/>
      <c r="E80" s="2"/>
      <c r="F80" s="2"/>
      <c r="G80" s="2"/>
      <c r="H80" s="2"/>
      <c r="I80" s="2"/>
      <c r="J80" s="22"/>
      <c r="K80" s="22"/>
      <c r="L80" s="2"/>
      <c r="M80" s="2"/>
      <c r="N80" s="2"/>
      <c r="O80" s="2"/>
      <c r="P80" s="2"/>
      <c r="Q80" s="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ht="12.75" hidden="1">
      <c r="A81" s="2"/>
      <c r="B81" s="37"/>
      <c r="C81" s="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ht="15.75">
      <c r="A82" s="83" t="s">
        <v>61</v>
      </c>
    </row>
    <row r="83" ht="12.75">
      <c r="A83" s="2"/>
    </row>
    <row r="84" spans="1:4" ht="12.75">
      <c r="A84" s="4" t="s">
        <v>62</v>
      </c>
      <c r="B84" s="92">
        <f>B33*B38*B65</f>
        <v>0.15938483769417347</v>
      </c>
      <c r="C84" s="5" t="s">
        <v>28</v>
      </c>
      <c r="D84" t="s">
        <v>63</v>
      </c>
    </row>
    <row r="85" spans="1:4" ht="12.75">
      <c r="A85" s="4" t="s">
        <v>64</v>
      </c>
      <c r="B85" s="92">
        <f>(B65*B62)^2*B69*0.001</f>
        <v>0.00904395499383295</v>
      </c>
      <c r="C85" s="5" t="s">
        <v>28</v>
      </c>
      <c r="D85" t="s">
        <v>65</v>
      </c>
    </row>
    <row r="86" spans="1:4" ht="12.75">
      <c r="A86" s="4" t="s">
        <v>66</v>
      </c>
      <c r="B86" s="92">
        <f>B37*B30*(1-B33)</f>
        <v>0.2306394178665428</v>
      </c>
      <c r="C86" s="5" t="s">
        <v>28</v>
      </c>
      <c r="D86" t="s">
        <v>67</v>
      </c>
    </row>
    <row r="87" spans="1:4" ht="12.75">
      <c r="A87" s="4" t="s">
        <v>68</v>
      </c>
      <c r="B87" s="92">
        <f>B30^2*B73</f>
        <v>0.0475</v>
      </c>
      <c r="C87" s="5" t="s">
        <v>28</v>
      </c>
      <c r="D87" t="s">
        <v>69</v>
      </c>
    </row>
    <row r="88" spans="1:11" ht="12.75">
      <c r="A88" s="4" t="s">
        <v>70</v>
      </c>
      <c r="B88" s="92">
        <f>0.003*B28</f>
        <v>0.075</v>
      </c>
      <c r="C88" s="5" t="s">
        <v>28</v>
      </c>
      <c r="D88" t="s">
        <v>71</v>
      </c>
      <c r="J88" s="2"/>
      <c r="K88" s="2"/>
    </row>
    <row r="89" spans="1:11" ht="12.75">
      <c r="A89" s="4" t="s">
        <v>72</v>
      </c>
      <c r="B89" s="92">
        <f>B28*B65*B56*0.00000005</f>
        <v>0.012499999999999999</v>
      </c>
      <c r="C89" s="5" t="s">
        <v>28</v>
      </c>
      <c r="D89" t="s">
        <v>73</v>
      </c>
      <c r="J89" s="2"/>
      <c r="K89" s="2"/>
    </row>
    <row r="90" spans="1:4" ht="12.75">
      <c r="A90" s="4" t="s">
        <v>74</v>
      </c>
      <c r="B90" s="80">
        <v>0.1</v>
      </c>
      <c r="C90" s="5" t="s">
        <v>28</v>
      </c>
      <c r="D90" t="s">
        <v>75</v>
      </c>
    </row>
    <row r="91" spans="1:4" ht="12.75">
      <c r="A91" s="4" t="s">
        <v>76</v>
      </c>
      <c r="B91" s="92">
        <f>SUM(B84:B90)</f>
        <v>0.6340682105545491</v>
      </c>
      <c r="C91" s="5" t="s">
        <v>28</v>
      </c>
      <c r="D91" t="s">
        <v>77</v>
      </c>
    </row>
    <row r="92" spans="1:17" ht="12.75">
      <c r="A92" s="4" t="s">
        <v>78</v>
      </c>
      <c r="B92" s="92">
        <f>B29*B30</f>
        <v>2.5</v>
      </c>
      <c r="C92" s="5" t="s">
        <v>28</v>
      </c>
      <c r="D92" t="s">
        <v>79</v>
      </c>
      <c r="K92" s="51"/>
      <c r="L92" s="2"/>
      <c r="M92" s="2"/>
      <c r="N92" s="2"/>
      <c r="O92" s="2"/>
      <c r="P92" s="2"/>
      <c r="Q92" s="2"/>
    </row>
    <row r="93" spans="1:17" ht="12.75">
      <c r="A93" s="4" t="s">
        <v>80</v>
      </c>
      <c r="B93" s="92">
        <f>B91+B92</f>
        <v>3.134068210554549</v>
      </c>
      <c r="C93" s="5" t="s">
        <v>28</v>
      </c>
      <c r="D93" t="s">
        <v>81</v>
      </c>
      <c r="K93" s="51"/>
      <c r="L93" s="2"/>
      <c r="M93" s="2"/>
      <c r="N93" s="2"/>
      <c r="O93" s="2"/>
      <c r="P93" s="2"/>
      <c r="Q93" s="2"/>
    </row>
    <row r="94" spans="1:78" ht="12.75">
      <c r="A94" s="4" t="s">
        <v>82</v>
      </c>
      <c r="B94" s="93">
        <f>B92/B93*100</f>
        <v>79.76852550881924</v>
      </c>
      <c r="C94" s="5" t="s">
        <v>33</v>
      </c>
      <c r="D94" t="s">
        <v>83</v>
      </c>
      <c r="K94" s="5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4" ht="12.75">
      <c r="A95" s="4" t="s">
        <v>84</v>
      </c>
      <c r="B95" s="92">
        <f>B84+B88+B89</f>
        <v>0.24688483769417346</v>
      </c>
      <c r="C95" s="5" t="s">
        <v>28</v>
      </c>
      <c r="D95" t="s">
        <v>85</v>
      </c>
    </row>
    <row r="96" spans="1:12" ht="12.75">
      <c r="A96" s="2"/>
      <c r="B96" s="37"/>
      <c r="L96" s="51"/>
    </row>
    <row r="97" spans="1:12" ht="12.75">
      <c r="A97" s="2"/>
      <c r="B97" s="37"/>
      <c r="L97" s="51"/>
    </row>
    <row r="98" spans="1:12" ht="12.75">
      <c r="A98" s="2"/>
      <c r="B98" s="37"/>
      <c r="L98" s="5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spans="1:78" ht="12.75">
      <c r="A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2.75">
      <c r="A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</sheetData>
  <sheetProtection/>
  <conditionalFormatting sqref="H14">
    <cfRule type="cellIs" priority="1" dxfId="0" operator="lessThan" stopIfTrue="1">
      <formula>25</formula>
    </cfRule>
  </conditionalFormatting>
  <conditionalFormatting sqref="J30 K41 D66:K66 D30:G30">
    <cfRule type="expression" priority="2" dxfId="0" stopIfTrue="1">
      <formula>IF(EXACT(#REF!,"YES"),$B$66&gt;#REF!,$B$66&gt;1.5)</formula>
    </cfRule>
  </conditionalFormatting>
  <conditionalFormatting sqref="L41 D67:I67">
    <cfRule type="expression" priority="3" dxfId="0" stopIfTrue="1">
      <formula>IF(EXACT(#REF!,"YES"),$B$66&gt;#REF!,$B$66&gt;3.4)</formula>
    </cfRule>
  </conditionalFormatting>
  <conditionalFormatting sqref="B32">
    <cfRule type="cellIs" priority="4" dxfId="0" operator="greaterThan" stopIfTrue="1">
      <formula>0.83</formula>
    </cfRule>
  </conditionalFormatting>
  <conditionalFormatting sqref="B67">
    <cfRule type="expression" priority="5" dxfId="0" stopIfTrue="1">
      <formula>"if((B63&gt;=3.4)"</formula>
    </cfRule>
  </conditionalFormatting>
  <conditionalFormatting sqref="B66">
    <cfRule type="expression" priority="6" dxfId="6" stopIfTrue="1">
      <formula>IF(EXACT(#REF!,"YES"),$B$66&gt;#REF!,$B$66&gt;1.5)</formula>
    </cfRule>
  </conditionalFormatting>
  <conditionalFormatting sqref="B55">
    <cfRule type="expression" priority="7" dxfId="0" stopIfTrue="1">
      <formula>OR(AND(B55&gt;150,EXACT(#REF!,"NO")),$B$55&gt;250)</formula>
    </cfRule>
  </conditionalFormatting>
  <conditionalFormatting sqref="D55:K55">
    <cfRule type="expression" priority="8" dxfId="0" stopIfTrue="1">
      <formula>OR(AND($B$55&gt;150,EXACT(#REF!,"NO")),$B$55&gt;250)</formula>
    </cfRule>
  </conditionalFormatting>
  <conditionalFormatting sqref="B28">
    <cfRule type="cellIs" priority="9" dxfId="0" operator="lessThan" stopIfTrue="1">
      <formula>$B$29+$B$38+0.5</formula>
    </cfRule>
  </conditionalFormatting>
  <conditionalFormatting sqref="B31">
    <cfRule type="cellIs" priority="10" dxfId="0" operator="greaterThan" stopIfTrue="1">
      <formula>84</formula>
    </cfRule>
  </conditionalFormatting>
  <conditionalFormatting sqref="B30">
    <cfRule type="expression" priority="11" dxfId="0" stopIfTrue="1">
      <formula>$B$66&gt;1.5</formula>
    </cfRule>
  </conditionalFormatting>
  <conditionalFormatting sqref="H15">
    <cfRule type="cellIs" priority="12" dxfId="0" operator="greaterThan" stopIfTrue="1">
      <formula>$G$10</formula>
    </cfRule>
  </conditionalFormatting>
  <dataValidations count="15">
    <dataValidation type="decimal" allowBlank="1" showErrorMessage="1" sqref="B29">
      <formula1>1.25</formula1>
      <formula2>B28*0.84</formula2>
    </dataValidation>
    <dataValidation allowBlank="1" showInputMessage="1" showErrorMessage="1" errorTitle="WARNING:" error="Power dissipation of device excedes the alowed limit." sqref="H15"/>
    <dataValidation type="decimal" allowBlank="1" showInputMessage="1" showErrorMessage="1" sqref="B90">
      <formula1>0</formula1>
      <formula2>5</formula2>
    </dataValidation>
    <dataValidation type="decimal" allowBlank="1" showInputMessage="1" showErrorMessage="1" sqref="B49">
      <formula1>0</formula1>
      <formula2>100</formula2>
    </dataValidation>
    <dataValidation type="list" allowBlank="1" showInputMessage="1" showErrorMessage="1" sqref="K3">
      <formula1>$I$5:$L$5</formula1>
    </dataValidation>
    <dataValidation type="decimal" allowBlank="1" showInputMessage="1" showErrorMessage="1" promptTitle="Diode Forward Voltage Drop" sqref="B37">
      <formula1>0.1</formula1>
      <formula2>3</formula2>
    </dataValidation>
    <dataValidation type="decimal" allowBlank="1" showInputMessage="1" showErrorMessage="1" promptTitle="Inductor Winding Resistance" prompt="Used to estimate the losses and efficiency of the converter. Leave Blank if not required." sqref="B73">
      <formula1>0</formula1>
      <formula2>100</formula2>
    </dataValidation>
    <dataValidation type="decimal" allowBlank="1" showInputMessage="1" showErrorMessage="1" prompt="20kHz to 100kHz&#10;Use of higher switching frequency allows you to choose smaller filter components.&#10;" sqref="B55">
      <formula1>20</formula1>
      <formula2>100</formula2>
    </dataValidation>
    <dataValidation type="decimal" allowBlank="1" showErrorMessage="1" prompt="&#10;" sqref="B30">
      <formula1>0</formula1>
      <formula2>1.5</formula2>
    </dataValidation>
    <dataValidation type="decimal" allowBlank="1" showErrorMessage="1" prompt="&#10;" sqref="B28">
      <formula1>4</formula1>
      <formula2>40</formula2>
    </dataValidation>
    <dataValidation allowBlank="1" showInputMessage="1" showErrorMessage="1" promptTitle="External Switch Selected" prompt="Please Enter the Data for PNP switch you are using" sqref="K61"/>
    <dataValidation type="decimal" showErrorMessage="1" errorTitle="WARING" error="Change the ratio of Vin and Vout&#10;" sqref="B32">
      <formula1>0</formula1>
      <formula2>0.85</formula2>
    </dataValidation>
    <dataValidation showErrorMessage="1" errorTitle="WARING" error="Change the ratio of Vin and Vout&#10;" sqref="B31"/>
    <dataValidation type="decimal" allowBlank="1" showInputMessage="1" showErrorMessage="1" sqref="L6">
      <formula1>20</formula1>
      <formula2>300</formula2>
    </dataValidation>
    <dataValidation type="list" allowBlank="1" showInputMessage="1" showErrorMessage="1" sqref="L8">
      <formula1>$I$8:$K$8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Visio.Drawing.11" shapeId="1921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3"/>
  <sheetViews>
    <sheetView showGridLines="0" tabSelected="1" zoomScalePageLayoutView="0" workbookViewId="0" topLeftCell="A26">
      <selection activeCell="H48" sqref="H48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11.57421875" style="0" customWidth="1"/>
    <col min="11" max="11" width="9.8515625" style="0" customWidth="1"/>
  </cols>
  <sheetData>
    <row r="1" ht="15.75">
      <c r="A1" s="60" t="s">
        <v>90</v>
      </c>
    </row>
    <row r="3" spans="8:11" ht="15.75">
      <c r="H3" s="3" t="s">
        <v>115</v>
      </c>
      <c r="K3" s="77" t="s">
        <v>3</v>
      </c>
    </row>
    <row r="4" spans="7:14" ht="12.75" hidden="1">
      <c r="G4" s="56"/>
      <c r="H4" s="56"/>
      <c r="I4" s="55" t="b">
        <f>EXACT(K3,I5)</f>
        <v>0</v>
      </c>
      <c r="J4" s="55" t="b">
        <f>EXACT(K3,J5)</f>
        <v>1</v>
      </c>
      <c r="K4" s="55" t="b">
        <f>EXACT(K3,K5)</f>
        <v>0</v>
      </c>
      <c r="L4" s="55"/>
      <c r="M4" s="55"/>
      <c r="N4" s="54"/>
    </row>
    <row r="5" spans="7:14" ht="12.75">
      <c r="G5" s="87" t="s">
        <v>2</v>
      </c>
      <c r="H5" s="87"/>
      <c r="I5" s="87" t="s">
        <v>1</v>
      </c>
      <c r="J5" s="87" t="s">
        <v>3</v>
      </c>
      <c r="K5" s="87" t="s">
        <v>4</v>
      </c>
      <c r="L5" s="87" t="s">
        <v>114</v>
      </c>
      <c r="M5" s="54"/>
      <c r="N5" s="54"/>
    </row>
    <row r="6" spans="7:14" ht="12.75">
      <c r="G6" s="57" t="s">
        <v>5</v>
      </c>
      <c r="H6" s="57"/>
      <c r="I6" s="57">
        <v>107</v>
      </c>
      <c r="J6" s="57">
        <v>123</v>
      </c>
      <c r="K6" s="57">
        <v>47</v>
      </c>
      <c r="L6" s="89">
        <v>90</v>
      </c>
      <c r="M6" s="54" t="s">
        <v>86</v>
      </c>
      <c r="N6" s="54"/>
    </row>
    <row r="7" spans="7:14" ht="12.75">
      <c r="G7" s="57" t="s">
        <v>6</v>
      </c>
      <c r="H7" s="57"/>
      <c r="I7" s="57">
        <v>150</v>
      </c>
      <c r="J7" s="57">
        <v>150</v>
      </c>
      <c r="K7" s="57">
        <v>150</v>
      </c>
      <c r="L7" s="57">
        <v>150</v>
      </c>
      <c r="M7" s="54"/>
      <c r="N7" s="54"/>
    </row>
    <row r="8" spans="7:14" ht="14.25" customHeight="1">
      <c r="G8" s="57" t="s">
        <v>7</v>
      </c>
      <c r="H8" s="57"/>
      <c r="I8" s="57">
        <v>0.95</v>
      </c>
      <c r="J8" s="57">
        <v>0.625</v>
      </c>
      <c r="K8" s="57">
        <v>1.2</v>
      </c>
      <c r="L8" s="89">
        <v>0.625</v>
      </c>
      <c r="M8" s="54"/>
      <c r="N8" s="54"/>
    </row>
    <row r="9" spans="7:14" ht="12.75" hidden="1">
      <c r="G9" s="53">
        <f>IF($I$4,I6,IF($J$4,J6,IF($K$4,K6,L6)))</f>
        <v>123</v>
      </c>
      <c r="H9" s="53"/>
      <c r="I9" s="54"/>
      <c r="J9" s="54"/>
      <c r="K9" s="54"/>
      <c r="L9" s="54"/>
      <c r="M9" s="54"/>
      <c r="N9" s="54"/>
    </row>
    <row r="10" spans="7:14" ht="12.75" hidden="1">
      <c r="G10" s="53">
        <f>IF($I$4,I8,IF($J$4,J8,IF($K$4,K8,L8)))</f>
        <v>0.625</v>
      </c>
      <c r="H10" s="53"/>
      <c r="I10" s="54"/>
      <c r="J10" s="54"/>
      <c r="K10" s="54"/>
      <c r="L10" s="54"/>
      <c r="M10" s="54"/>
      <c r="N10" s="54"/>
    </row>
    <row r="11" spans="5:14" ht="12.75">
      <c r="E11" t="s">
        <v>95</v>
      </c>
      <c r="I11" s="54"/>
      <c r="J11" s="54"/>
      <c r="K11" s="54"/>
      <c r="L11" s="54"/>
      <c r="M11" s="54"/>
      <c r="N11" s="53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</row>
    <row r="13" ht="12.75">
      <c r="G13" t="s">
        <v>103</v>
      </c>
    </row>
    <row r="14" spans="7:18" ht="12.75">
      <c r="G14" s="15" t="s">
        <v>23</v>
      </c>
      <c r="H14" s="90">
        <f>150-(B100*G9)</f>
        <v>139.38831790946503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  <c r="R14" s="69"/>
    </row>
    <row r="15" spans="7:14" ht="12.75">
      <c r="G15" s="28" t="s">
        <v>27</v>
      </c>
      <c r="H15" s="92">
        <f>B100</f>
        <v>0.08627383813443075</v>
      </c>
      <c r="I15" s="5" t="s">
        <v>28</v>
      </c>
      <c r="J15" s="85" t="str">
        <f>IF(H15&gt;G10,"&lt;-- High Power Dissipation!!! ","&lt;-- Power Dissipation at the device")</f>
        <v>&lt;-- Power Dissipation at the device</v>
      </c>
      <c r="K15" s="86"/>
      <c r="L15" s="85"/>
      <c r="M15" s="85"/>
      <c r="N15" s="85"/>
    </row>
    <row r="17" ht="12.75">
      <c r="G17" t="s">
        <v>110</v>
      </c>
    </row>
    <row r="18" ht="12.75">
      <c r="G18" t="s">
        <v>118</v>
      </c>
    </row>
    <row r="19" ht="12.75">
      <c r="G19" t="s">
        <v>106</v>
      </c>
    </row>
    <row r="22" spans="1:3" ht="15.75">
      <c r="A22" s="70" t="s">
        <v>8</v>
      </c>
      <c r="B22" s="70"/>
      <c r="C22" s="70"/>
    </row>
    <row r="24" spans="1:2" ht="12.75">
      <c r="A24" s="9"/>
      <c r="B24" t="s">
        <v>91</v>
      </c>
    </row>
    <row r="25" spans="1:2" ht="12.75">
      <c r="A25" s="11"/>
      <c r="B25" t="s">
        <v>92</v>
      </c>
    </row>
    <row r="26" spans="1:2" ht="12.75">
      <c r="A26" s="67"/>
      <c r="B26" t="s">
        <v>99</v>
      </c>
    </row>
    <row r="28" spans="3:11" ht="12.75">
      <c r="C28" t="s">
        <v>11</v>
      </c>
      <c r="K28" t="s">
        <v>105</v>
      </c>
    </row>
    <row r="29" spans="1:8" ht="12.75">
      <c r="A29" s="15" t="s">
        <v>12</v>
      </c>
      <c r="B29" s="74">
        <v>5</v>
      </c>
      <c r="C29" s="15" t="s">
        <v>13</v>
      </c>
      <c r="D29" t="s">
        <v>88</v>
      </c>
      <c r="H29" s="16" t="s">
        <v>96</v>
      </c>
    </row>
    <row r="30" spans="1:8" ht="12.75">
      <c r="A30" s="15" t="s">
        <v>14</v>
      </c>
      <c r="B30" s="74">
        <v>21</v>
      </c>
      <c r="C30" s="15" t="s">
        <v>13</v>
      </c>
      <c r="D30" t="str">
        <f>IF(B30&gt;(B29+B39+0.5),"&lt;-- Desired output voltage","&lt;-- Low Output voltage")</f>
        <v>&lt;-- Desired output voltage</v>
      </c>
      <c r="H30" s="16" t="s">
        <v>97</v>
      </c>
    </row>
    <row r="31" spans="1:4" ht="12.75">
      <c r="A31" s="15" t="s">
        <v>17</v>
      </c>
      <c r="B31" s="74">
        <v>0.02</v>
      </c>
      <c r="C31" s="15" t="s">
        <v>18</v>
      </c>
      <c r="D31" t="str">
        <f>IF(B68&lt;1.5,"&lt;-- Desired output current","                                                                                              Switch transistor current exceedes max. value 1.5 A")</f>
        <v>&lt;-- Desired output current</v>
      </c>
    </row>
    <row r="32" spans="1:4" ht="12.75">
      <c r="A32" s="15" t="s">
        <v>19</v>
      </c>
      <c r="B32" s="97">
        <f>B33</f>
        <v>0.8038740920096853</v>
      </c>
      <c r="C32" s="19"/>
      <c r="D32" t="s">
        <v>94</v>
      </c>
    </row>
    <row r="33" spans="2:3" ht="12.75" hidden="1">
      <c r="B33" s="65">
        <f>B65/(B65+B79)</f>
        <v>0.8038740920096853</v>
      </c>
      <c r="C33" s="66">
        <f>B29+B39+0.5</f>
        <v>6.338355555555555</v>
      </c>
    </row>
    <row r="34" spans="2:3" ht="12.75">
      <c r="B34" s="65"/>
      <c r="C34" s="66"/>
    </row>
    <row r="35" spans="1:9" ht="15.75">
      <c r="A35" s="70" t="s">
        <v>20</v>
      </c>
      <c r="B35" s="68"/>
      <c r="C35" s="68"/>
      <c r="D35" s="68"/>
      <c r="E35" s="68"/>
      <c r="F35" s="68"/>
      <c r="G35" s="68"/>
      <c r="H35" s="68"/>
      <c r="I35" s="68"/>
    </row>
    <row r="37" ht="12.75">
      <c r="C37" t="s">
        <v>11</v>
      </c>
    </row>
    <row r="38" spans="1:4" ht="12.75">
      <c r="A38" s="15" t="s">
        <v>21</v>
      </c>
      <c r="B38" s="74">
        <v>0.6</v>
      </c>
      <c r="C38" s="15" t="s">
        <v>13</v>
      </c>
      <c r="D38" t="s">
        <v>22</v>
      </c>
    </row>
    <row r="39" spans="1:4" ht="12.75">
      <c r="A39" s="26" t="s">
        <v>25</v>
      </c>
      <c r="B39" s="98">
        <f>0.82+B67*0.18</f>
        <v>0.8383555555555555</v>
      </c>
      <c r="C39" s="27" t="s">
        <v>13</v>
      </c>
      <c r="D39" t="s">
        <v>26</v>
      </c>
    </row>
    <row r="40" spans="1:5" ht="12.75">
      <c r="A40" s="24"/>
      <c r="B40" s="24"/>
      <c r="C40" s="24"/>
      <c r="E40" s="10" t="s">
        <v>29</v>
      </c>
    </row>
    <row r="41" spans="1:10" ht="12.75">
      <c r="A41" s="24"/>
      <c r="B41" s="24"/>
      <c r="C41" s="24"/>
      <c r="D41" s="22"/>
      <c r="E41" s="30" t="s">
        <v>30</v>
      </c>
      <c r="F41" s="22"/>
      <c r="G41" s="22"/>
      <c r="H41" s="22"/>
      <c r="I41" s="22"/>
      <c r="J41" s="22"/>
    </row>
    <row r="43" spans="1:13" ht="15.75">
      <c r="A43" s="71" t="s">
        <v>100</v>
      </c>
      <c r="B43" s="72"/>
      <c r="C43" s="7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2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" t="s">
        <v>108</v>
      </c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"/>
      <c r="B48" s="24"/>
      <c r="C48" s="24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31"/>
      <c r="B49" s="31"/>
      <c r="C49" s="14" t="s">
        <v>11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4" ht="12.75">
      <c r="A50" s="32" t="s">
        <v>32</v>
      </c>
      <c r="B50" s="75">
        <v>32.80635463138686</v>
      </c>
      <c r="C50" s="27" t="s">
        <v>33</v>
      </c>
      <c r="D50" t="s">
        <v>34</v>
      </c>
    </row>
    <row r="51" spans="1:4" ht="12.75">
      <c r="A51" s="27" t="s">
        <v>35</v>
      </c>
      <c r="B51" s="90">
        <f>B67*B50/100</f>
        <v>0.03345438138953772</v>
      </c>
      <c r="C51" s="27" t="s">
        <v>18</v>
      </c>
      <c r="D51" t="s">
        <v>36</v>
      </c>
    </row>
    <row r="52" spans="1:3" ht="12.75">
      <c r="A52" s="24"/>
      <c r="B52" s="24"/>
      <c r="C52" s="24"/>
    </row>
    <row r="53" spans="1:13" ht="12.75" hidden="1">
      <c r="A53" s="24"/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1" ht="12.75">
      <c r="A54" s="23" t="s">
        <v>37</v>
      </c>
      <c r="B54" s="24"/>
      <c r="C54" s="24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24"/>
      <c r="B55" s="24"/>
      <c r="C55" s="14" t="s">
        <v>11</v>
      </c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15" t="s">
        <v>38</v>
      </c>
      <c r="B56" s="77">
        <v>100</v>
      </c>
      <c r="C56" s="33" t="s">
        <v>39</v>
      </c>
      <c r="D56" s="101" t="str">
        <f>IF(AND($B$56&gt;150,EXACT($L$62,"NO")),"&lt;--Switching frequency can not be more than 150kHz when using the internal switch",IF(AND($B$56&gt;250,EXACT($L$62,"YES")),"&lt;--Recommended switching frequency is not greater than 250 kHz when using the extenal switch","&lt;-- Targeted maximum switching frequency"))</f>
        <v>&lt;-- Targeted maximum switching frequency</v>
      </c>
      <c r="E56" s="102"/>
      <c r="F56" s="102"/>
      <c r="G56" s="102"/>
      <c r="H56" s="102"/>
      <c r="I56" s="102"/>
      <c r="J56" s="102"/>
      <c r="K56" s="102"/>
    </row>
    <row r="57" spans="1:3" ht="12.75" hidden="1">
      <c r="A57" s="24"/>
      <c r="B57" s="88">
        <f>B56*1000</f>
        <v>100000</v>
      </c>
      <c r="C57" s="36"/>
    </row>
    <row r="58" spans="1:10" ht="12.75">
      <c r="A58" s="103" t="s">
        <v>112</v>
      </c>
      <c r="B58" s="108">
        <f>4*0.00001*B65*1000000</f>
        <v>321.54963680387414</v>
      </c>
      <c r="C58" s="104" t="s">
        <v>120</v>
      </c>
      <c r="D58" t="s">
        <v>113</v>
      </c>
      <c r="J58" s="38" t="s">
        <v>41</v>
      </c>
    </row>
    <row r="59" ht="12.75" hidden="1"/>
    <row r="61" spans="1:3" ht="15.75">
      <c r="A61" s="82" t="s">
        <v>43</v>
      </c>
      <c r="B61" s="39"/>
      <c r="C61" s="39"/>
    </row>
    <row r="62" ht="12.75">
      <c r="A62" s="2"/>
    </row>
    <row r="63" spans="1:3" ht="12.75">
      <c r="A63" s="31"/>
      <c r="B63" s="99"/>
      <c r="C63" s="14" t="s">
        <v>11</v>
      </c>
    </row>
    <row r="64" spans="1:3" ht="12.75">
      <c r="A64" s="43" t="s">
        <v>44</v>
      </c>
      <c r="B64" s="94">
        <f>(B30+B38-B29)/(B29-0.95)</f>
        <v>4.098765432098766</v>
      </c>
      <c r="C64" s="44"/>
    </row>
    <row r="65" spans="1:3" ht="12.75">
      <c r="A65" s="26" t="s">
        <v>45</v>
      </c>
      <c r="B65" s="95">
        <f>B66*1000000</f>
        <v>8.038740920096853</v>
      </c>
      <c r="C65" s="44" t="s">
        <v>87</v>
      </c>
    </row>
    <row r="66" spans="1:3" ht="12.75" hidden="1">
      <c r="A66" s="26"/>
      <c r="B66" s="96">
        <f>B64/(B57*(B64+1))</f>
        <v>8.038740920096853E-06</v>
      </c>
      <c r="C66" s="44"/>
    </row>
    <row r="67" spans="1:4" ht="12.75">
      <c r="A67" s="15" t="s">
        <v>46</v>
      </c>
      <c r="B67" s="90">
        <f>B31*(B64+1)</f>
        <v>0.10197530864197532</v>
      </c>
      <c r="C67" s="44" t="s">
        <v>18</v>
      </c>
      <c r="D67" t="s">
        <v>89</v>
      </c>
    </row>
    <row r="68" spans="1:12" ht="12.75">
      <c r="A68" s="15" t="s">
        <v>48</v>
      </c>
      <c r="B68" s="90">
        <f>B67+(B51/2)</f>
        <v>0.11870249933674418</v>
      </c>
      <c r="C68" s="44" t="s">
        <v>18</v>
      </c>
      <c r="D68" t="str">
        <f>IF(B68&gt;1.5,"&lt;--Current Rating Exceeded Please Use and external switch of higher current rating","&lt;-- Peak Inductor Current. For Boost Converter this equals IL(avg) + Iripple/2")</f>
        <v>&lt;-- Peak Inductor Current. For Boost Converter this equals IL(avg) + Iripple/2</v>
      </c>
      <c r="L68" t="s">
        <v>98</v>
      </c>
    </row>
    <row r="69" spans="1:3" ht="12.75">
      <c r="A69" s="2"/>
      <c r="C69" s="2"/>
    </row>
    <row r="70" spans="1:9" ht="12.75">
      <c r="A70" s="46"/>
      <c r="B70" s="21"/>
      <c r="C70" s="47" t="s">
        <v>11</v>
      </c>
      <c r="D70" s="22"/>
      <c r="E70" s="22"/>
      <c r="F70" s="22"/>
      <c r="G70" s="22"/>
      <c r="H70" s="22"/>
      <c r="I70" s="22"/>
    </row>
    <row r="71" spans="1:9" ht="12.75">
      <c r="A71" s="15" t="s">
        <v>50</v>
      </c>
      <c r="B71" s="93">
        <f>B72*1000</f>
        <v>2527.326734283306</v>
      </c>
      <c r="C71" s="48" t="s">
        <v>51</v>
      </c>
      <c r="D71" t="s">
        <v>52</v>
      </c>
      <c r="E71" s="22"/>
      <c r="F71" s="22"/>
      <c r="G71" s="22"/>
      <c r="H71" s="22"/>
      <c r="I71" s="22"/>
    </row>
    <row r="72" spans="1:9" ht="12.75" hidden="1">
      <c r="A72" s="15"/>
      <c r="B72" s="96">
        <f>0.3/B68</f>
        <v>2.527326734283306</v>
      </c>
      <c r="C72" s="48"/>
      <c r="E72" s="22"/>
      <c r="F72" s="22"/>
      <c r="G72" s="22"/>
      <c r="H72" s="22"/>
      <c r="I72" s="22"/>
    </row>
    <row r="73" spans="1:7" ht="12.75">
      <c r="A73" s="15" t="s">
        <v>53</v>
      </c>
      <c r="B73" s="93">
        <f>B74*1000000</f>
        <v>1000.0000030163934</v>
      </c>
      <c r="C73" s="48" t="s">
        <v>54</v>
      </c>
      <c r="D73" t="s">
        <v>55</v>
      </c>
      <c r="G73" s="10" t="s">
        <v>93</v>
      </c>
    </row>
    <row r="74" spans="1:3" ht="12.75" hidden="1">
      <c r="A74" s="20"/>
      <c r="B74" s="78">
        <f>((B29-B39)/B51)*B66</f>
        <v>0.0010000000030163934</v>
      </c>
      <c r="C74" s="49"/>
    </row>
    <row r="75" spans="1:4" ht="15.75" hidden="1">
      <c r="A75" s="15" t="s">
        <v>57</v>
      </c>
      <c r="B75" s="79">
        <v>0.086</v>
      </c>
      <c r="C75" s="48" t="s">
        <v>58</v>
      </c>
      <c r="D75" t="s">
        <v>59</v>
      </c>
    </row>
    <row r="76" spans="1:5" ht="12.75" hidden="1">
      <c r="A76" s="20"/>
      <c r="B76" s="81"/>
      <c r="C76" s="49"/>
      <c r="E76" s="10"/>
    </row>
    <row r="77" spans="1:3" ht="12.75" hidden="1">
      <c r="A77" s="2"/>
      <c r="B77" s="68"/>
      <c r="C77" s="47"/>
    </row>
    <row r="78" spans="1:4" ht="15.75">
      <c r="A78" s="15" t="s">
        <v>57</v>
      </c>
      <c r="B78" s="79">
        <v>1.1</v>
      </c>
      <c r="C78" s="48" t="s">
        <v>58</v>
      </c>
      <c r="D78" t="s">
        <v>59</v>
      </c>
    </row>
    <row r="79" spans="1:3" ht="12.75">
      <c r="A79" s="26" t="s">
        <v>60</v>
      </c>
      <c r="B79" s="92">
        <f>B80*1000000</f>
        <v>1.9612590799031477</v>
      </c>
      <c r="C79" s="44" t="s">
        <v>87</v>
      </c>
    </row>
    <row r="80" spans="1:3" ht="12.75" hidden="1">
      <c r="A80" s="26"/>
      <c r="B80" s="45">
        <f>B66*(1/B64)</f>
        <v>1.9612590799031477E-06</v>
      </c>
      <c r="C80" s="44"/>
    </row>
    <row r="81" ht="12.75" hidden="1"/>
    <row r="82" ht="12.75" hidden="1"/>
    <row r="83" ht="12.75" hidden="1"/>
    <row r="84" ht="12.75" hidden="1"/>
    <row r="85" ht="12.75" hidden="1"/>
    <row r="87" ht="15.75">
      <c r="A87" s="83" t="s">
        <v>61</v>
      </c>
    </row>
    <row r="88" ht="12.75">
      <c r="A88" s="2"/>
    </row>
    <row r="89" spans="1:4" ht="12.75">
      <c r="A89" s="4" t="s">
        <v>62</v>
      </c>
      <c r="B89" s="92">
        <f>B39*B33*B67</f>
        <v>0.06872445541838136</v>
      </c>
      <c r="C89" s="5" t="s">
        <v>28</v>
      </c>
      <c r="D89" t="s">
        <v>63</v>
      </c>
    </row>
    <row r="90" spans="1:4" ht="12.75">
      <c r="A90" s="4" t="s">
        <v>64</v>
      </c>
      <c r="B90" s="92">
        <f>B67^2*B72</f>
        <v>0.02628157864593625</v>
      </c>
      <c r="C90" s="5" t="s">
        <v>28</v>
      </c>
      <c r="D90" t="s">
        <v>65</v>
      </c>
    </row>
    <row r="91" spans="1:4" ht="12.75">
      <c r="A91" s="4" t="s">
        <v>66</v>
      </c>
      <c r="B91" s="92">
        <f>B38*B31</f>
        <v>0.012</v>
      </c>
      <c r="C91" s="5" t="s">
        <v>28</v>
      </c>
      <c r="D91" t="s">
        <v>67</v>
      </c>
    </row>
    <row r="92" spans="1:4" ht="12.75">
      <c r="A92" s="4" t="s">
        <v>68</v>
      </c>
      <c r="B92" s="92">
        <f>B67^2*B78</f>
        <v>0.01143885992988874</v>
      </c>
      <c r="C92" s="5" t="s">
        <v>28</v>
      </c>
      <c r="D92" t="s">
        <v>69</v>
      </c>
    </row>
    <row r="93" spans="1:4" ht="12.75">
      <c r="A93" s="4" t="s">
        <v>70</v>
      </c>
      <c r="B93" s="92">
        <f>0.003*B29</f>
        <v>0.015</v>
      </c>
      <c r="C93" s="5" t="s">
        <v>28</v>
      </c>
      <c r="D93" t="s">
        <v>71</v>
      </c>
    </row>
    <row r="94" spans="1:4" ht="12.75">
      <c r="A94" s="4" t="s">
        <v>72</v>
      </c>
      <c r="B94" s="92">
        <f>B29*B67*B57*0.00000005</f>
        <v>0.0025493827160493828</v>
      </c>
      <c r="C94" s="5" t="s">
        <v>28</v>
      </c>
      <c r="D94" t="s">
        <v>73</v>
      </c>
    </row>
    <row r="95" spans="1:4" ht="12.75">
      <c r="A95" s="4" t="s">
        <v>74</v>
      </c>
      <c r="B95" s="80">
        <v>0.1</v>
      </c>
      <c r="C95" s="5" t="s">
        <v>28</v>
      </c>
      <c r="D95" t="s">
        <v>75</v>
      </c>
    </row>
    <row r="96" spans="1:13" ht="12.75">
      <c r="A96" s="4" t="s">
        <v>76</v>
      </c>
      <c r="B96" s="92">
        <f>SUM(B89:B95)</f>
        <v>0.23599427671025572</v>
      </c>
      <c r="C96" s="5" t="s">
        <v>28</v>
      </c>
      <c r="D96" t="s">
        <v>77</v>
      </c>
      <c r="H96" s="62"/>
      <c r="I96" s="61"/>
      <c r="J96" s="61"/>
      <c r="K96" s="61"/>
      <c r="L96" s="61"/>
      <c r="M96" s="62"/>
    </row>
    <row r="97" spans="1:13" ht="12.75">
      <c r="A97" s="4" t="s">
        <v>78</v>
      </c>
      <c r="B97" s="92">
        <f>B30*B31</f>
        <v>0.42</v>
      </c>
      <c r="C97" s="5" t="s">
        <v>28</v>
      </c>
      <c r="D97" t="s">
        <v>79</v>
      </c>
      <c r="H97" s="63"/>
      <c r="I97" s="61"/>
      <c r="J97" s="61"/>
      <c r="K97" s="62"/>
      <c r="L97" s="63"/>
      <c r="M97" s="62"/>
    </row>
    <row r="98" spans="1:13" ht="12.75">
      <c r="A98" s="4" t="s">
        <v>80</v>
      </c>
      <c r="B98" s="92">
        <f>B96+B97</f>
        <v>0.6559942767102557</v>
      </c>
      <c r="C98" s="5" t="s">
        <v>28</v>
      </c>
      <c r="D98" t="s">
        <v>81</v>
      </c>
      <c r="H98" s="61"/>
      <c r="I98" s="61"/>
      <c r="J98" s="61"/>
      <c r="K98" s="61"/>
      <c r="L98" s="61"/>
      <c r="M98" s="62"/>
    </row>
    <row r="99" spans="1:13" ht="12.75">
      <c r="A99" s="4" t="s">
        <v>82</v>
      </c>
      <c r="B99" s="92">
        <f>B97/B98*100</f>
        <v>64.02494883130035</v>
      </c>
      <c r="C99" s="5" t="s">
        <v>33</v>
      </c>
      <c r="D99" t="s">
        <v>83</v>
      </c>
      <c r="H99" s="61"/>
      <c r="I99" s="61"/>
      <c r="J99" s="61"/>
      <c r="K99" s="61"/>
      <c r="L99" s="61"/>
      <c r="M99" s="62"/>
    </row>
    <row r="100" spans="1:13" ht="12.75">
      <c r="A100" s="4" t="s">
        <v>84</v>
      </c>
      <c r="B100" s="100">
        <f>B89+B93+B94</f>
        <v>0.08627383813443075</v>
      </c>
      <c r="C100" s="5"/>
      <c r="H100" s="64"/>
      <c r="I100" s="61"/>
      <c r="J100" s="61"/>
      <c r="K100" s="61"/>
      <c r="L100" s="61"/>
      <c r="M100" s="62"/>
    </row>
    <row r="101" spans="1:13" ht="12.75">
      <c r="A101" s="2"/>
      <c r="B101" s="37"/>
      <c r="H101" s="61"/>
      <c r="I101" s="62"/>
      <c r="J101" s="62"/>
      <c r="K101" s="62"/>
      <c r="L101" s="62"/>
      <c r="M101" s="62"/>
    </row>
    <row r="102" spans="1:2" ht="12.75">
      <c r="A102" s="2"/>
      <c r="B102" s="37"/>
    </row>
    <row r="103" spans="1:2" ht="12.75">
      <c r="A103" s="2"/>
      <c r="B103" s="37"/>
    </row>
  </sheetData>
  <sheetProtection/>
  <mergeCells count="1">
    <mergeCell ref="D56:K56"/>
  </mergeCells>
  <conditionalFormatting sqref="H14">
    <cfRule type="cellIs" priority="1" dxfId="0" operator="lessThan" stopIfTrue="1">
      <formula>25</formula>
    </cfRule>
  </conditionalFormatting>
  <conditionalFormatting sqref="D68:K68 B31 H31:L31">
    <cfRule type="expression" priority="2" dxfId="0" stopIfTrue="1">
      <formula>IF(EXACT("YES",$L$62),$B$68&gt;$K$68,$B$68&gt;1.5)</formula>
    </cfRule>
  </conditionalFormatting>
  <conditionalFormatting sqref="B32">
    <cfRule type="cellIs" priority="3" dxfId="6" operator="greaterThan" stopIfTrue="1">
      <formula>83</formula>
    </cfRule>
  </conditionalFormatting>
  <conditionalFormatting sqref="D31:E31">
    <cfRule type="expression" priority="4" dxfId="0" stopIfTrue="1">
      <formula>IF(EXACT("YES",$L$62),$B$68&gt;$K$68,$B$68&gt;3.4)</formula>
    </cfRule>
  </conditionalFormatting>
  <conditionalFormatting sqref="B56">
    <cfRule type="expression" priority="5" dxfId="0" stopIfTrue="1">
      <formula>OR(AND(B56&gt;150,EXACT($L$62,"NO")),$B$56&gt;250)</formula>
    </cfRule>
  </conditionalFormatting>
  <conditionalFormatting sqref="D56">
    <cfRule type="expression" priority="6" dxfId="6" stopIfTrue="1">
      <formula>OR(AND($B$56&gt;150,EXACT($L$62,"NO")),$B$56&gt;250)</formula>
    </cfRule>
  </conditionalFormatting>
  <conditionalFormatting sqref="B68">
    <cfRule type="expression" priority="7" dxfId="6" stopIfTrue="1">
      <formula>IF(EXACT("YES",$L$62),$B$68&gt;$K$68,$B$68&gt;1.5)</formula>
    </cfRule>
  </conditionalFormatting>
  <conditionalFormatting sqref="B30">
    <cfRule type="cellIs" priority="8" dxfId="0" operator="lessThan" stopIfTrue="1">
      <formula>$C$33</formula>
    </cfRule>
  </conditionalFormatting>
  <conditionalFormatting sqref="H15">
    <cfRule type="cellIs" priority="9" dxfId="0" operator="greaterThan" stopIfTrue="1">
      <formula>$G$10</formula>
    </cfRule>
  </conditionalFormatting>
  <dataValidations count="9">
    <dataValidation type="decimal" allowBlank="1" showInputMessage="1" showErrorMessage="1" sqref="B30">
      <formula1>B29+B39+0.5</formula1>
      <formula2>40</formula2>
    </dataValidation>
    <dataValidation allowBlank="1" showInputMessage="1" showErrorMessage="1" errorTitle="WARNING:" error="Power dissipation of device excedes the alowed limit." sqref="H15"/>
    <dataValidation type="list" allowBlank="1" showInputMessage="1" showErrorMessage="1" sqref="K3">
      <formula1>$I$5:$L$5</formula1>
    </dataValidation>
    <dataValidation type="decimal" allowBlank="1" showInputMessage="1" showErrorMessage="1" sqref="B29">
      <formula1>2.5</formula1>
      <formula2>38</formula2>
    </dataValidation>
    <dataValidation type="decimal" allowBlank="1" showInputMessage="1" showErrorMessage="1" prompt="&#10;20kHz to 100kHz with Inrternal Switch&#10;Use of higher switching frequency allows you to choose smaller filter components.&#10;" sqref="B56">
      <formula1>20</formula1>
      <formula2>100</formula2>
    </dataValidation>
    <dataValidation allowBlank="1" showInputMessage="1" showErrorMessage="1" promptTitle="Inductor Winding Resistance" prompt="Used to estimate the losses and efficiency of the converter. Leave Blank if not required." sqref="B75"/>
    <dataValidation type="decimal" allowBlank="1" showInputMessage="1" showErrorMessage="1" promptTitle="Inductor Winding Resistance" prompt="Used to estimate the losses and efficiency of the converter. Leave Blank if not required." sqref="B78">
      <formula1>0</formula1>
      <formula2>100</formula2>
    </dataValidation>
    <dataValidation type="list" allowBlank="1" showInputMessage="1" showErrorMessage="1" sqref="L8">
      <formula1>$I$8:$K$8</formula1>
    </dataValidation>
    <dataValidation type="decimal" allowBlank="1" showInputMessage="1" showErrorMessage="1" sqref="L6">
      <formula1>20</formula1>
      <formula2>300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5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 Semiconductor</cp:lastModifiedBy>
  <dcterms:created xsi:type="dcterms:W3CDTF">1996-10-14T23:33:28Z</dcterms:created>
  <dcterms:modified xsi:type="dcterms:W3CDTF">2011-05-19T18:21:33Z</dcterms:modified>
  <cp:category/>
  <cp:version/>
  <cp:contentType/>
  <cp:contentStatus/>
</cp:coreProperties>
</file>