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xlsx" ContentType="application/vnd.openxmlformats-officedocument.spreadsheetml.shee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9195" windowHeight="5865" firstSheet="2" activeTab="2"/>
  </bookViews>
  <sheets>
    <sheet name="Revision" sheetId="1" state="hidden" r:id="rId1"/>
    <sheet name="Components" sheetId="2" state="hidden" r:id="rId2"/>
    <sheet name="Introduction" sheetId="3" r:id="rId3"/>
    <sheet name="Step 1" sheetId="4" r:id="rId4"/>
    <sheet name="Step 2" sheetId="5" r:id="rId5"/>
    <sheet name="Final 1 - Summary" sheetId="6" r:id="rId6"/>
    <sheet name="Final 2 -  Bode Plot" sheetId="7" r:id="rId7"/>
    <sheet name="Inductor Design" sheetId="8" r:id="rId8"/>
    <sheet name="Bode Plot Data" sheetId="9" state="hidden" r:id="rId9"/>
  </sheets>
  <definedNames>
    <definedName name="A_L">'Inductor Design'!$G$21</definedName>
    <definedName name="Ae_core" localSheetId="7">'Inductor Design'!$C$20</definedName>
    <definedName name="AeAb">'Inductor Design'!$C$18</definedName>
    <definedName name="AWG_f">'Inductor Design'!$C$28</definedName>
    <definedName name="Bobbin_Area">'Inductor Design'!$G$34</definedName>
    <definedName name="BW">'Bode Plot Data'!$P$11</definedName>
    <definedName name="Ccomphf" localSheetId="7">'Inductor Design'!#REF!</definedName>
    <definedName name="Ccomphf">'Step 1'!$C$36</definedName>
    <definedName name="Ccomphf_actual">'Step 2'!$B$40</definedName>
    <definedName name="Ccomplf" localSheetId="7">'Inductor Design'!#REF!</definedName>
    <definedName name="Ccomplf">'Step 1'!$C$34</definedName>
    <definedName name="Ccomplf_actual">'Step 2'!$B$38</definedName>
    <definedName name="CD">'Inductor Design'!$C$9</definedName>
    <definedName name="Cinf" localSheetId="7">'Inductor Design'!#REF!</definedName>
    <definedName name="Cinf">'Step 1'!$G$34</definedName>
    <definedName name="Cinf_actual">'Step 2'!$B$19</definedName>
    <definedName name="CM" localSheetId="7">'Inductor Design'!$C$26</definedName>
    <definedName name="Copy_Right">'Revision'!$B$3</definedName>
    <definedName name="COUT">'Step 1'!$C$21</definedName>
    <definedName name="Cout_actual">'Step 2'!$B$33</definedName>
    <definedName name="Css" localSheetId="7">'Inductor Design'!#REF!</definedName>
    <definedName name="Css">'Step 1'!$C$33</definedName>
    <definedName name="Css_actual">'Step 2'!$B$43</definedName>
    <definedName name="Cu_Area">'Inductor Design'!$G$32</definedName>
    <definedName name="CVB" localSheetId="7">'Inductor Design'!#REF!</definedName>
    <definedName name="CVB">'Step 1'!$C$31</definedName>
    <definedName name="Cvdd1" localSheetId="7">'Inductor Design'!#REF!</definedName>
    <definedName name="Cvdd1">'Step 1'!$G$36</definedName>
    <definedName name="Cvdd2" localSheetId="7">'Inductor Design'!#REF!</definedName>
    <definedName name="Cvdd2">'Step 1'!$G$37</definedName>
    <definedName name="Date">'Revision'!$B$2</definedName>
    <definedName name="Date_Design">'Introduction'!$C$36</definedName>
    <definedName name="dB">'Inductor Design'!$C$7</definedName>
    <definedName name="Designer">'Introduction'!$C$35</definedName>
    <definedName name="dVout_dt">'Step 1'!$C$16</definedName>
    <definedName name="eff_m">'Inductor Design'!$C$6</definedName>
    <definedName name="eff_pfc">'Inductor Design'!$C$14</definedName>
    <definedName name="f1a">'Bode Plot Data'!$L$6</definedName>
    <definedName name="F2_Dem">'Bode Plot Data'!$P$6</definedName>
    <definedName name="F2_Num">'Bode Plot Data'!$P$5</definedName>
    <definedName name="fc">'Step 1'!$G$10</definedName>
    <definedName name="fc_actual">'Step 2'!$F$38</definedName>
    <definedName name="fcp">'Bode Plot Data'!$L$8</definedName>
    <definedName name="fcz">'Bode Plot Data'!$L$7</definedName>
    <definedName name="fHFP">'Step 1'!$G$11</definedName>
    <definedName name="fhfp_actual">'Step 2'!$F$39</definedName>
    <definedName name="FK">'Inductor Design'!$C$11</definedName>
    <definedName name="fLINEMIN">'Step 1'!$C$11</definedName>
    <definedName name="fp">'Bode Plot Data'!$L$5</definedName>
    <definedName name="Fs_max">'Inductor Design'!$G$23</definedName>
    <definedName name="Fs_min" localSheetId="7">'Inductor Design'!$G$7</definedName>
    <definedName name="FSWMIN">'Step 1'!$G$8</definedName>
    <definedName name="fswmin_actual">'Step 2'!$F$27</definedName>
    <definedName name="Fv_Co">'Bode Plot Data'!$L$10</definedName>
    <definedName name="Fv_fcp">'Bode Plot Data'!$L$12</definedName>
    <definedName name="Fv_fcz">'Bode Plot Data'!$L$11</definedName>
    <definedName name="I_gap">'Inductor Design'!$G$22</definedName>
    <definedName name="I_in" localSheetId="7">'Inductor Design'!$C$25</definedName>
    <definedName name="Igd_actual">'Step 2'!$F$46</definedName>
    <definedName name="IL_pk">'Inductor Design'!$G$18</definedName>
    <definedName name="ILPK">'Step 1'!$C$27</definedName>
    <definedName name="Ilpk_actual">'Step 2'!$F$30</definedName>
    <definedName name="Io_dc">'Final 2 -  Bode Plot'!$D$6</definedName>
    <definedName name="Io_dcp">'Bode Plot Data'!$L$4</definedName>
    <definedName name="IOMAX">'Step 1'!$C$28</definedName>
    <definedName name="Iopk_actual">'Step 2'!$F$26</definedName>
    <definedName name="Izcd_actual">'Step 2'!$F$49</definedName>
    <definedName name="Kmax">'Step 1'!$G$15</definedName>
    <definedName name="L">'Step 1'!$C$22</definedName>
    <definedName name="L_actual">'Step 2'!$B$25</definedName>
    <definedName name="L_pfc">'Inductor Design'!$G$19</definedName>
    <definedName name="litz_mean_OD">'Inductor Design'!$C$31</definedName>
    <definedName name="litz_OD_wound">'Inductor Design'!$C$32</definedName>
    <definedName name="Min_GL">'Bode Plot Data'!$P$10</definedName>
    <definedName name="MLT" localSheetId="7">'Inductor Design'!$C$21</definedName>
    <definedName name="N">'Step 1'!$C$20</definedName>
    <definedName name="N_boost">'Inductor Design'!$G$20</definedName>
    <definedName name="N_cu_layers">'Inductor Design'!$C$34</definedName>
    <definedName name="N_tape_layers">'Inductor Design'!$G$31</definedName>
    <definedName name="N_zcd">'Inductor Design'!$G$25</definedName>
    <definedName name="nH" localSheetId="7">'Inductor Design'!$G$12</definedName>
    <definedName name="Nzcd">'Inductor Design'!$G$26</definedName>
    <definedName name="P_Rdc">'Inductor Design'!$G$36</definedName>
    <definedName name="pfb">'Step 1'!$G$12</definedName>
    <definedName name="Pfb_actual">'Step 2'!$F$9</definedName>
    <definedName name="pinsns">'Step 1'!$G$14</definedName>
    <definedName name="Pinsnsmax_actual">'Step 2'!$F$18</definedName>
    <definedName name="PM">'Bode Plot Data'!$P$12</definedName>
    <definedName name="PMAXCH">'Step 1'!$C$24</definedName>
    <definedName name="Pmaxch_actual">'Step 2'!$F$25</definedName>
    <definedName name="Pmaxchilpk_actual" localSheetId="7">'Step 2'!#REF!</definedName>
    <definedName name="Pmaxchilpk_actual">'Step 2'!#REF!</definedName>
    <definedName name="Po">'Inductor Design'!$C$12</definedName>
    <definedName name="Po_ch">'Inductor Design'!$C$13</definedName>
    <definedName name="POUT">'Step 1'!$C$15</definedName>
    <definedName name="POUTCH">'Step 1'!$C$23</definedName>
    <definedName name="Povnom_actual">'Step 2'!$F$13</definedName>
    <definedName name="Povp">'Step 1'!$G$13</definedName>
    <definedName name="_xlnm.Print_Area" localSheetId="5">'Final 1 - Summary'!$A$1:$G$54</definedName>
    <definedName name="_xlnm.Print_Area" localSheetId="6">'Final 2 -  Bode Plot'!$A$1:$H$62</definedName>
    <definedName name="_xlnm.Print_Area" localSheetId="3">'Step 1'!$A$1:$G$50</definedName>
    <definedName name="Project">'Introduction'!$C$34</definedName>
    <definedName name="Rcomp" localSheetId="7">'Inductor Design'!#REF!</definedName>
    <definedName name="Rcomp">'Step 1'!$C$35</definedName>
    <definedName name="Rcomp_actual">'Step 2'!$B$39</definedName>
    <definedName name="Rcs1" localSheetId="7">'Inductor Design'!#REF!</definedName>
    <definedName name="Rcs1">'Step 1'!$G$38</definedName>
    <definedName name="Rcsx_actual">'Step 2'!$B$30</definedName>
    <definedName name="Rdc">'Inductor Design'!$C$36</definedName>
    <definedName name="Res_litz">'Inductor Design'!$C$30</definedName>
    <definedName name="Rev">'Revision'!$B$1</definedName>
    <definedName name="Rfb1" localSheetId="7">'Inductor Design'!#REF!</definedName>
    <definedName name="Rfb1">'Step 1'!$C$37</definedName>
    <definedName name="Rfb1_actual">'Step 2'!$B$8</definedName>
    <definedName name="Rfb2" localSheetId="7">'Inductor Design'!#REF!</definedName>
    <definedName name="Rfb2">'Step 1'!$C$38</definedName>
    <definedName name="Rfb2_actual">'Step 2'!$B$9</definedName>
    <definedName name="Rg1" localSheetId="7">'Inductor Design'!#REF!</definedName>
    <definedName name="Rg1">'Step 1'!$G$35</definedName>
    <definedName name="Rgx_actual">'Step 2'!$B$46</definedName>
    <definedName name="Rin1" localSheetId="7">'Inductor Design'!#REF!</definedName>
    <definedName name="Rin1">'Step 1'!$G$31</definedName>
    <definedName name="Rin1_actual">'Step 2'!$B$16</definedName>
    <definedName name="Rin2" localSheetId="7">'Inductor Design'!#REF!</definedName>
    <definedName name="Rin2">'Step 1'!$G$32</definedName>
    <definedName name="Rin2_actual">'Step 2'!$B$17</definedName>
    <definedName name="Rinhyst" localSheetId="7">'Inductor Design'!#REF!</definedName>
    <definedName name="Rinhyst">'Step 1'!$G$33</definedName>
    <definedName name="Rinhyst_actual">'Step 2'!$B$18</definedName>
    <definedName name="Rmot" localSheetId="7">'Inductor Design'!#REF!</definedName>
    <definedName name="Rmot">'Step 1'!$C$32</definedName>
    <definedName name="Rmot_actual">'Step 2'!$B$22</definedName>
    <definedName name="Rov1" localSheetId="7">'Inductor Design'!#REF!</definedName>
    <definedName name="Rov1">'Step 1'!$C$39</definedName>
    <definedName name="Rov1_actual">'Step 2'!$B$12</definedName>
    <definedName name="Rov2" localSheetId="7">'Inductor Design'!#REF!</definedName>
    <definedName name="Rov2">'Step 1'!$G$30</definedName>
    <definedName name="Rov2_actual">'Step 2'!$B$13</definedName>
    <definedName name="Rzcd1" localSheetId="7">'Inductor Design'!#REF!</definedName>
    <definedName name="Rzcd1">'Step 1'!$C$30</definedName>
    <definedName name="Rzcdx_actual">'Step 2'!$B$49</definedName>
    <definedName name="s" localSheetId="7">'Inductor Design'!B1</definedName>
    <definedName name="s">'Step 1'!B1</definedName>
    <definedName name="SD">'Inductor Design'!$C$27</definedName>
    <definedName name="sss">'Step 1'!A1</definedName>
    <definedName name="tape_Area">'Inductor Design'!$G$33</definedName>
    <definedName name="tape_thick">'Inductor Design'!$G$30</definedName>
    <definedName name="testt" localSheetId="7">'Inductor Design'!B1</definedName>
    <definedName name="testt">'Step 1'!B1</definedName>
    <definedName name="tHOLD">'Step 1'!$C$17</definedName>
    <definedName name="thold_actual">'Step 2'!$F$34</definedName>
    <definedName name="TONMAX">'Step 1'!$C$25</definedName>
    <definedName name="tonmax_actual">'Step 2'!$F$22</definedName>
    <definedName name="Turns_layer">'Inductor Design'!$C$33</definedName>
    <definedName name="UF">'Inductor Design'!$C$10</definedName>
    <definedName name="unit" localSheetId="7">'Inductor Design'!$G$10</definedName>
    <definedName name="uo" localSheetId="7">'Inductor Design'!$G$11</definedName>
    <definedName name="V_Line_min" localSheetId="7">'Inductor Design'!$G$6</definedName>
    <definedName name="V_Line_minf" localSheetId="7">'Inductor Design'!$C$16</definedName>
    <definedName name="V_zcd" localSheetId="7">'Inductor Design'!$G$8</definedName>
    <definedName name="VDDmax">'Step 1'!$G$9</definedName>
    <definedName name="VLINE_OVP">'Step 1'!$G$19</definedName>
    <definedName name="VLineHyst">'Step 1'!$G$20</definedName>
    <definedName name="VLINEMAX" localSheetId="7">'Inductor Design'!$C$9</definedName>
    <definedName name="VLINEMAX">'Step 1'!$C$10</definedName>
    <definedName name="VLINEMAX1" localSheetId="7">'Inductor Design'!$C$9</definedName>
    <definedName name="VLINEMAX1">'Step 1'!$C$10</definedName>
    <definedName name="VLINENOR">'Step 1'!$C$9</definedName>
    <definedName name="VLINEOFF" localSheetId="7">'Inductor Design'!$C$7</definedName>
    <definedName name="VLINEOFF">'Step 1'!$C$8</definedName>
    <definedName name="Vlineoff_actual">'Step 2'!$F$16</definedName>
    <definedName name="VLINEON" localSheetId="7">'Inductor Design'!$C$6</definedName>
    <definedName name="VLINEON">'Step 1'!$C$7</definedName>
    <definedName name="Vlineon_actual">'Step 2'!$F$17</definedName>
    <definedName name="VLINEOVP">'Step 1'!$C$10</definedName>
    <definedName name="VOUT">'Step 1'!$C$12</definedName>
    <definedName name="Vout_actual">'Step 2'!$F$8</definedName>
    <definedName name="Vout_pfc">'Inductor Design'!$C$15</definedName>
    <definedName name="VOUTLATCH">'Step 1'!$C$14</definedName>
    <definedName name="Voutlatch_actual">'Step 2'!$F$12</definedName>
    <definedName name="VOUTMIN">'Step 1'!$G$7</definedName>
    <definedName name="Voutmin_actual">'Step 2'!$F$35</definedName>
    <definedName name="VOUTRIPPLE">'Step 1'!$C$13</definedName>
    <definedName name="Voutripple_actual">'Step 2'!$F$33</definedName>
    <definedName name="WA" localSheetId="7">'Inductor Design'!$C$23</definedName>
    <definedName name="WF">'Inductor Design'!$C$8</definedName>
    <definedName name="WW" localSheetId="7">'Inductor Design'!$C$22</definedName>
    <definedName name="η">'Step 1'!$C$19</definedName>
  </definedNames>
  <calcPr fullCalcOnLoad="1"/>
</workbook>
</file>

<file path=xl/comments4.xml><?xml version="1.0" encoding="utf-8"?>
<comments xmlns="http://schemas.openxmlformats.org/spreadsheetml/2006/main">
  <authors>
    <author>Note</author>
    <author>Fairchild Semiconductor</author>
  </authors>
  <commentList>
    <comment ref="F34" authorId="0">
      <text>
        <r>
          <rPr>
            <b/>
            <sz val="8"/>
            <rFont val="Tahoma"/>
            <family val="0"/>
          </rPr>
          <t xml:space="preserve">Note:
</t>
        </r>
        <r>
          <rPr>
            <sz val="8"/>
            <rFont val="Tahoma"/>
            <family val="2"/>
          </rPr>
          <t>C</t>
        </r>
        <r>
          <rPr>
            <vertAlign val="subscript"/>
            <sz val="8"/>
            <rFont val="Tahoma"/>
            <family val="2"/>
          </rPr>
          <t>INF</t>
        </r>
        <r>
          <rPr>
            <sz val="8"/>
            <rFont val="Tahoma"/>
            <family val="2"/>
          </rPr>
          <t xml:space="preserve"> is used to bypass switching noise.  
The time constant of C</t>
        </r>
        <r>
          <rPr>
            <vertAlign val="subscript"/>
            <sz val="8"/>
            <rFont val="Tahoma"/>
            <family val="2"/>
          </rPr>
          <t>INF</t>
        </r>
        <r>
          <rPr>
            <sz val="8"/>
            <rFont val="Tahoma"/>
            <family val="2"/>
          </rPr>
          <t>, R</t>
        </r>
        <r>
          <rPr>
            <vertAlign val="subscript"/>
            <sz val="8"/>
            <rFont val="Tahoma"/>
            <family val="2"/>
          </rPr>
          <t>IN2</t>
        </r>
        <r>
          <rPr>
            <sz val="8"/>
            <rFont val="Tahoma"/>
            <family val="2"/>
          </rPr>
          <t xml:space="preserve"> and R</t>
        </r>
        <r>
          <rPr>
            <vertAlign val="subscript"/>
            <sz val="8"/>
            <rFont val="Tahoma"/>
            <family val="2"/>
          </rPr>
          <t>INHYST</t>
        </r>
        <r>
          <rPr>
            <sz val="8"/>
            <rFont val="Tahoma"/>
            <family val="2"/>
          </rPr>
          <t xml:space="preserve"> should be smaller than 5% of the AC line period.
The actual value of C</t>
        </r>
        <r>
          <rPr>
            <vertAlign val="subscript"/>
            <sz val="8"/>
            <rFont val="Tahoma"/>
            <family val="2"/>
          </rPr>
          <t>INF</t>
        </r>
        <r>
          <rPr>
            <sz val="8"/>
            <rFont val="Tahoma"/>
            <family val="2"/>
          </rPr>
          <t xml:space="preserve"> should be less than or equal to the value calculated.</t>
        </r>
      </text>
    </comment>
    <comment ref="F33" authorId="0">
      <text>
        <r>
          <rPr>
            <b/>
            <sz val="8"/>
            <rFont val="Tahoma"/>
            <family val="0"/>
          </rPr>
          <t>Note:</t>
        </r>
        <r>
          <rPr>
            <sz val="8"/>
            <rFont val="Tahoma"/>
            <family val="0"/>
          </rPr>
          <t xml:space="preserve">
R</t>
        </r>
        <r>
          <rPr>
            <vertAlign val="subscript"/>
            <sz val="8"/>
            <rFont val="Tahoma"/>
            <family val="2"/>
          </rPr>
          <t>INHYST</t>
        </r>
        <r>
          <rPr>
            <sz val="8"/>
            <rFont val="Tahoma"/>
            <family val="0"/>
          </rPr>
          <t xml:space="preserve"> is used to add additional hysteresis to the UVLO hysteresis on the line voltage.  
A value of zero for R</t>
        </r>
        <r>
          <rPr>
            <vertAlign val="subscript"/>
            <sz val="8"/>
            <rFont val="Tahoma"/>
            <family val="2"/>
          </rPr>
          <t>INHYST</t>
        </r>
        <r>
          <rPr>
            <sz val="8"/>
            <rFont val="Tahoma"/>
            <family val="0"/>
          </rPr>
          <t xml:space="preserve"> will result in the minimum amount of hysteresis.</t>
        </r>
      </text>
    </comment>
    <comment ref="F32" authorId="0">
      <text>
        <r>
          <rPr>
            <b/>
            <sz val="8"/>
            <rFont val="Tahoma"/>
            <family val="0"/>
          </rPr>
          <t>Note:</t>
        </r>
        <r>
          <rPr>
            <sz val="8"/>
            <rFont val="Tahoma"/>
            <family val="0"/>
          </rPr>
          <t xml:space="preserve">
R</t>
        </r>
        <r>
          <rPr>
            <vertAlign val="subscript"/>
            <sz val="8"/>
            <rFont val="Tahoma"/>
            <family val="2"/>
          </rPr>
          <t>IN2</t>
        </r>
        <r>
          <rPr>
            <sz val="8"/>
            <rFont val="Tahoma"/>
            <family val="0"/>
          </rPr>
          <t xml:space="preserve"> is the lower portion of the input voltage sense divider.
This information is used for line UVLO, OVP and line feed-forward for PWM control.</t>
        </r>
      </text>
    </comment>
    <comment ref="F31" authorId="0">
      <text>
        <r>
          <rPr>
            <b/>
            <sz val="8"/>
            <rFont val="Tahoma"/>
            <family val="0"/>
          </rPr>
          <t>Note:</t>
        </r>
        <r>
          <rPr>
            <sz val="8"/>
            <rFont val="Tahoma"/>
            <family val="0"/>
          </rPr>
          <t xml:space="preserve">
R</t>
        </r>
        <r>
          <rPr>
            <vertAlign val="subscript"/>
            <sz val="8"/>
            <rFont val="Tahoma"/>
            <family val="2"/>
          </rPr>
          <t>IN2</t>
        </r>
        <r>
          <rPr>
            <sz val="8"/>
            <rFont val="Tahoma"/>
            <family val="0"/>
          </rPr>
          <t xml:space="preserve"> is the upper portion of the input voltage sense divider.
This information is used for line UVLO, OVP and line feed-forward for PWM control.</t>
        </r>
      </text>
    </comment>
    <comment ref="B22" authorId="0">
      <text>
        <r>
          <rPr>
            <b/>
            <sz val="8"/>
            <rFont val="Tahoma"/>
            <family val="0"/>
          </rPr>
          <t>Note:</t>
        </r>
        <r>
          <rPr>
            <sz val="8"/>
            <rFont val="Tahoma"/>
            <family val="0"/>
          </rPr>
          <t xml:space="preserve">
The boost inductor (L) value is determined by the output power and the minimum switching frequency.
The minimum switching frequency can occur at either the lowest or highest input line voltage.
Therefore, two inductor values are calculated and the lowest value is selected to ensure the minimum frequency is met.</t>
        </r>
      </text>
    </comment>
    <comment ref="B10" authorId="0">
      <text>
        <r>
          <rPr>
            <b/>
            <sz val="8"/>
            <rFont val="Tahoma"/>
            <family val="0"/>
          </rPr>
          <t>Note:</t>
        </r>
        <r>
          <rPr>
            <sz val="8"/>
            <rFont val="Tahoma"/>
            <family val="0"/>
          </rPr>
          <t xml:space="preserve">
The V</t>
        </r>
        <r>
          <rPr>
            <vertAlign val="subscript"/>
            <sz val="8"/>
            <rFont val="Tahoma"/>
            <family val="2"/>
          </rPr>
          <t>LINEMAX</t>
        </r>
        <r>
          <rPr>
            <sz val="8"/>
            <rFont val="Tahoma"/>
            <family val="0"/>
          </rPr>
          <t xml:space="preserve"> parameter is the largest input voltage expected.
This parameter is used only for calculations and must be less than or equal to the Line OVP setpoint (V</t>
        </r>
        <r>
          <rPr>
            <vertAlign val="subscript"/>
            <sz val="8"/>
            <rFont val="Tahoma"/>
            <family val="2"/>
          </rPr>
          <t>LINEOFF</t>
        </r>
        <r>
          <rPr>
            <sz val="8"/>
            <rFont val="Tahoma"/>
            <family val="0"/>
          </rPr>
          <t xml:space="preserve"> * 4.0)</t>
        </r>
      </text>
    </comment>
    <comment ref="B8" authorId="0">
      <text>
        <r>
          <rPr>
            <b/>
            <sz val="8"/>
            <rFont val="Tahoma"/>
            <family val="0"/>
          </rPr>
          <t>Note:</t>
        </r>
        <r>
          <rPr>
            <sz val="8"/>
            <rFont val="Tahoma"/>
            <family val="0"/>
          </rPr>
          <t xml:space="preserve">
The V</t>
        </r>
        <r>
          <rPr>
            <vertAlign val="subscript"/>
            <sz val="8"/>
            <rFont val="Tahoma"/>
            <family val="2"/>
          </rPr>
          <t>LINEOFF</t>
        </r>
        <r>
          <rPr>
            <sz val="8"/>
            <rFont val="Tahoma"/>
            <family val="0"/>
          </rPr>
          <t xml:space="preserve"> parameter sets the RMS voltage at which the FAN9612 will turn off (Brownout).  
The Line OVP setpoint changes with this parameter as well.  The OVP value is approximately 4.0 * V</t>
        </r>
        <r>
          <rPr>
            <vertAlign val="subscript"/>
            <sz val="8"/>
            <rFont val="Tahoma"/>
            <family val="2"/>
          </rPr>
          <t>LINEOFF</t>
        </r>
        <r>
          <rPr>
            <sz val="8"/>
            <rFont val="Tahoma"/>
            <family val="0"/>
          </rPr>
          <t>.
Care should be taken to ensure the window resulting from the V</t>
        </r>
        <r>
          <rPr>
            <vertAlign val="subscript"/>
            <sz val="8"/>
            <rFont val="Tahoma"/>
            <family val="2"/>
          </rPr>
          <t>LINEOFF</t>
        </r>
        <r>
          <rPr>
            <sz val="8"/>
            <rFont val="Tahoma"/>
            <family val="0"/>
          </rPr>
          <t xml:space="preserve"> parameter covers the entire operating range. 
Default value is 85 V.</t>
        </r>
      </text>
    </comment>
    <comment ref="B7" authorId="0">
      <text>
        <r>
          <rPr>
            <b/>
            <sz val="8"/>
            <rFont val="Tahoma"/>
            <family val="0"/>
          </rPr>
          <t>Note:</t>
        </r>
        <r>
          <rPr>
            <sz val="8"/>
            <rFont val="Tahoma"/>
            <family val="0"/>
          </rPr>
          <t xml:space="preserve">
V</t>
        </r>
        <r>
          <rPr>
            <vertAlign val="subscript"/>
            <sz val="8"/>
            <rFont val="Tahoma"/>
            <family val="2"/>
          </rPr>
          <t>LINEON</t>
        </r>
        <r>
          <rPr>
            <sz val="8"/>
            <rFont val="Tahoma"/>
            <family val="0"/>
          </rPr>
          <t xml:space="preserve"> is the setpoint that the FAN9612 begins operating and must be greater than V</t>
        </r>
        <r>
          <rPr>
            <vertAlign val="subscript"/>
            <sz val="8"/>
            <rFont val="Tahoma"/>
            <family val="2"/>
          </rPr>
          <t>LINEOFF</t>
        </r>
        <r>
          <rPr>
            <sz val="8"/>
            <rFont val="Tahoma"/>
            <family val="0"/>
          </rPr>
          <t xml:space="preserve"> and less than V</t>
        </r>
        <r>
          <rPr>
            <vertAlign val="subscript"/>
            <sz val="8"/>
            <rFont val="Tahoma"/>
            <family val="2"/>
          </rPr>
          <t>LINEMAX</t>
        </r>
        <r>
          <rPr>
            <sz val="8"/>
            <rFont val="Tahoma"/>
            <family val="0"/>
          </rPr>
          <t>.
The FAN9612 has built in hysteresis which is dependent on the upper resistor in the input voltage sense divider.
Lower V</t>
        </r>
        <r>
          <rPr>
            <vertAlign val="subscript"/>
            <sz val="8"/>
            <rFont val="Tahoma"/>
            <family val="2"/>
          </rPr>
          <t>IN</t>
        </r>
        <r>
          <rPr>
            <sz val="8"/>
            <rFont val="Tahoma"/>
            <family val="0"/>
          </rPr>
          <t xml:space="preserve"> sense power dissipation results in larger built in hysteresis.</t>
        </r>
      </text>
    </comment>
    <comment ref="B19" authorId="0">
      <text>
        <r>
          <rPr>
            <b/>
            <sz val="8"/>
            <rFont val="Tahoma"/>
            <family val="0"/>
          </rPr>
          <t>Note:</t>
        </r>
        <r>
          <rPr>
            <sz val="8"/>
            <rFont val="Tahoma"/>
            <family val="0"/>
          </rPr>
          <t xml:space="preserve">
Typical efficiency values for an interleaved BCM PFC converter is in the 0.92 to 0.98 range.
Default value is 0.95</t>
        </r>
      </text>
    </comment>
    <comment ref="B20" authorId="0">
      <text>
        <r>
          <rPr>
            <b/>
            <sz val="8"/>
            <rFont val="Tahoma"/>
            <family val="0"/>
          </rPr>
          <t>Note:</t>
        </r>
        <r>
          <rPr>
            <sz val="8"/>
            <rFont val="Tahoma"/>
            <family val="0"/>
          </rPr>
          <t xml:space="preserve">
The auxiliary winding is used to indirectly detect the inductor zero current point for the FAN9612 zero current detection (ZCD) circuit.
This tool assumes that auxiliary winding will only be used for this purpose and not for supplying power to the FAN9612. 
If it is desired to have the auxiliary winding supply power, consult the FAN9612 applications note (AN-6086).</t>
        </r>
      </text>
    </comment>
    <comment ref="B25" authorId="0">
      <text>
        <r>
          <rPr>
            <b/>
            <sz val="8"/>
            <rFont val="Tahoma"/>
            <family val="0"/>
          </rPr>
          <t>Note:</t>
        </r>
        <r>
          <rPr>
            <sz val="8"/>
            <rFont val="Tahoma"/>
            <family val="0"/>
          </rPr>
          <t xml:space="preserve">
The maximum on time of the gate drive signals determines the maximum output power. 
Therefore, t</t>
        </r>
        <r>
          <rPr>
            <vertAlign val="subscript"/>
            <sz val="8"/>
            <rFont val="Tahoma"/>
            <family val="2"/>
          </rPr>
          <t>ONMAX</t>
        </r>
        <r>
          <rPr>
            <sz val="8"/>
            <rFont val="Tahoma"/>
            <family val="0"/>
          </rPr>
          <t xml:space="preserve"> is derived from the maximum output power per channel. </t>
        </r>
      </text>
    </comment>
    <comment ref="B30" authorId="0">
      <text>
        <r>
          <rPr>
            <b/>
            <sz val="8"/>
            <rFont val="Tahoma"/>
            <family val="0"/>
          </rPr>
          <t>Note:</t>
        </r>
        <r>
          <rPr>
            <sz val="8"/>
            <rFont val="Tahoma"/>
            <family val="0"/>
          </rPr>
          <t xml:space="preserve">
The voltage of the ZCD pins is clamped near zero.
The R</t>
        </r>
        <r>
          <rPr>
            <vertAlign val="subscript"/>
            <sz val="8"/>
            <rFont val="Tahoma"/>
            <family val="2"/>
          </rPr>
          <t>ZCD</t>
        </r>
        <r>
          <rPr>
            <sz val="8"/>
            <rFont val="Tahoma"/>
            <family val="0"/>
          </rPr>
          <t xml:space="preserve"> resistors limit the current of the ZCD pins below 1 mA.</t>
        </r>
      </text>
    </comment>
    <comment ref="B32" authorId="0">
      <text>
        <r>
          <rPr>
            <b/>
            <sz val="8"/>
            <rFont val="Tahoma"/>
            <family val="0"/>
          </rPr>
          <t>Note:</t>
        </r>
        <r>
          <rPr>
            <sz val="8"/>
            <rFont val="Tahoma"/>
            <family val="0"/>
          </rPr>
          <t xml:space="preserve">
The RMOT resistor sets the maximum on time for each gate drive signal.
This value should be in the range of 40 kΩ to 130 kΩ.  </t>
        </r>
      </text>
    </comment>
    <comment ref="B37" authorId="0">
      <text>
        <r>
          <rPr>
            <b/>
            <sz val="8"/>
            <rFont val="Tahoma"/>
            <family val="0"/>
          </rPr>
          <t>Note:</t>
        </r>
        <r>
          <rPr>
            <sz val="8"/>
            <rFont val="Tahoma"/>
            <family val="0"/>
          </rPr>
          <t xml:space="preserve">
R</t>
        </r>
        <r>
          <rPr>
            <vertAlign val="subscript"/>
            <sz val="8"/>
            <rFont val="Tahoma"/>
            <family val="2"/>
          </rPr>
          <t>FB1</t>
        </r>
        <r>
          <rPr>
            <sz val="8"/>
            <rFont val="Tahoma"/>
            <family val="0"/>
          </rPr>
          <t xml:space="preserve"> is the upper resistor in the feedback divider.
To regulate the output voltage, the voltage divider should be designed to result in 3 V to the feedback pin.</t>
        </r>
      </text>
    </comment>
    <comment ref="B38" authorId="0">
      <text>
        <r>
          <rPr>
            <b/>
            <sz val="8"/>
            <rFont val="Tahoma"/>
            <family val="0"/>
          </rPr>
          <t>Note:</t>
        </r>
        <r>
          <rPr>
            <sz val="8"/>
            <rFont val="Tahoma"/>
            <family val="0"/>
          </rPr>
          <t xml:space="preserve">
R</t>
        </r>
        <r>
          <rPr>
            <vertAlign val="subscript"/>
            <sz val="8"/>
            <rFont val="Tahoma"/>
            <family val="2"/>
          </rPr>
          <t>FB2</t>
        </r>
        <r>
          <rPr>
            <sz val="8"/>
            <rFont val="Tahoma"/>
            <family val="0"/>
          </rPr>
          <t xml:space="preserve"> is the lower resistor in the feedback divider.
To regulate the output voltage, the voltage divider should be designed to result in 3 V to the feedback pin.</t>
        </r>
      </text>
    </comment>
    <comment ref="F12" authorId="0">
      <text>
        <r>
          <rPr>
            <b/>
            <sz val="8"/>
            <rFont val="Tahoma"/>
            <family val="0"/>
          </rPr>
          <t>Note:</t>
        </r>
        <r>
          <rPr>
            <sz val="8"/>
            <rFont val="Tahoma"/>
            <family val="0"/>
          </rPr>
          <t xml:space="preserve">
The feedback power dissipation determines the magnitude of the resistors to use for the feedback divider.
The default value is between 0.05 and 0.1 W.</t>
        </r>
      </text>
    </comment>
    <comment ref="F14" authorId="0">
      <text>
        <r>
          <rPr>
            <b/>
            <sz val="8"/>
            <rFont val="Tahoma"/>
            <family val="0"/>
          </rPr>
          <t>Note:</t>
        </r>
        <r>
          <rPr>
            <sz val="8"/>
            <rFont val="Tahoma"/>
            <family val="0"/>
          </rPr>
          <t xml:space="preserve">
The input voltage sense power dissipation determines the magnitude of the resistors to use for the input voltage sense divider.
This parameter also determines the amount of line brown out  hysteresis the device will have.  
Lower V</t>
        </r>
        <r>
          <rPr>
            <vertAlign val="subscript"/>
            <sz val="8"/>
            <rFont val="Tahoma"/>
            <family val="2"/>
          </rPr>
          <t>IN</t>
        </r>
        <r>
          <rPr>
            <sz val="8"/>
            <rFont val="Tahoma"/>
            <family val="0"/>
          </rPr>
          <t xml:space="preserve"> sense power dissipation results in larger built in hysteresis.</t>
        </r>
      </text>
    </comment>
    <comment ref="B39" authorId="0">
      <text>
        <r>
          <rPr>
            <b/>
            <sz val="8"/>
            <rFont val="Tahoma"/>
            <family val="0"/>
          </rPr>
          <t>Note:</t>
        </r>
        <r>
          <rPr>
            <sz val="8"/>
            <rFont val="Tahoma"/>
            <family val="0"/>
          </rPr>
          <t xml:space="preserve">
R</t>
        </r>
        <r>
          <rPr>
            <vertAlign val="subscript"/>
            <sz val="8"/>
            <rFont val="Tahoma"/>
            <family val="2"/>
          </rPr>
          <t>OV1</t>
        </r>
        <r>
          <rPr>
            <sz val="8"/>
            <rFont val="Tahoma"/>
            <family val="0"/>
          </rPr>
          <t xml:space="preserve"> is the upper resistor in the output over voltage sense divider.
The voltage divider should be designed such that 3.5 V on the feedback pin results in the desired output OVP voltage. </t>
        </r>
      </text>
    </comment>
    <comment ref="F30" authorId="0">
      <text>
        <r>
          <rPr>
            <b/>
            <sz val="8"/>
            <rFont val="Tahoma"/>
            <family val="0"/>
          </rPr>
          <t>Note:</t>
        </r>
        <r>
          <rPr>
            <sz val="8"/>
            <rFont val="Tahoma"/>
            <family val="0"/>
          </rPr>
          <t xml:space="preserve">
R</t>
        </r>
        <r>
          <rPr>
            <vertAlign val="subscript"/>
            <sz val="8"/>
            <rFont val="Tahoma"/>
            <family val="2"/>
          </rPr>
          <t>OV2</t>
        </r>
        <r>
          <rPr>
            <sz val="8"/>
            <rFont val="Tahoma"/>
            <family val="0"/>
          </rPr>
          <t xml:space="preserve"> is the lower resistor in the output over voltage sense divider.
The voltage divider should be designed such that 3.5 V on the feedback pin results in the desired output OVP voltage. </t>
        </r>
      </text>
    </comment>
    <comment ref="F13" authorId="0">
      <text>
        <r>
          <rPr>
            <b/>
            <sz val="8"/>
            <rFont val="Tahoma"/>
            <family val="0"/>
          </rPr>
          <t>Note:</t>
        </r>
        <r>
          <rPr>
            <sz val="8"/>
            <rFont val="Tahoma"/>
            <family val="0"/>
          </rPr>
          <t xml:space="preserve">
The OVP network power dissipation determines the magnitude of the resistors to use for the over voltage sense divider.
The default value is between 0.05 and 0.1 W.</t>
        </r>
      </text>
    </comment>
    <comment ref="B27" authorId="0">
      <text>
        <r>
          <rPr>
            <b/>
            <sz val="8"/>
            <rFont val="Tahoma"/>
            <family val="0"/>
          </rPr>
          <t>Note:</t>
        </r>
        <r>
          <rPr>
            <sz val="8"/>
            <rFont val="Tahoma"/>
            <family val="0"/>
          </rPr>
          <t xml:space="preserve">
The peak inductor current (</t>
        </r>
        <r>
          <rPr>
            <sz val="8"/>
            <rFont val="Tahoma"/>
            <family val="2"/>
          </rPr>
          <t>I</t>
        </r>
        <r>
          <rPr>
            <vertAlign val="subscript"/>
            <sz val="8"/>
            <rFont val="Tahoma"/>
            <family val="2"/>
          </rPr>
          <t>LPK</t>
        </r>
        <r>
          <rPr>
            <sz val="8"/>
            <rFont val="Tahoma"/>
            <family val="0"/>
          </rPr>
          <t>) is determined from the boost inductor value.</t>
        </r>
      </text>
    </comment>
    <comment ref="B21" authorId="0">
      <text>
        <r>
          <rPr>
            <b/>
            <sz val="8"/>
            <rFont val="Tahoma"/>
            <family val="0"/>
          </rPr>
          <t>Note:</t>
        </r>
        <r>
          <rPr>
            <sz val="8"/>
            <rFont val="Tahoma"/>
            <family val="0"/>
          </rPr>
          <t xml:space="preserve">
The value selected for the output capacitor must satisfy two conditions, output voltage ripple and holdup time.
The larger of the two calculated capacitor values is chosen to ensure proper operation. 
The actual capacitor should be equal to or larger than the value calculated here.</t>
        </r>
      </text>
    </comment>
    <comment ref="B17" authorId="0">
      <text>
        <r>
          <rPr>
            <b/>
            <sz val="8"/>
            <rFont val="Tahoma"/>
            <family val="0"/>
          </rPr>
          <t>Note:</t>
        </r>
        <r>
          <rPr>
            <sz val="8"/>
            <rFont val="Tahoma"/>
            <family val="0"/>
          </rPr>
          <t xml:space="preserve">
t</t>
        </r>
        <r>
          <rPr>
            <vertAlign val="subscript"/>
            <sz val="8"/>
            <rFont val="Tahoma"/>
            <family val="2"/>
          </rPr>
          <t>HOLD</t>
        </r>
        <r>
          <rPr>
            <sz val="8"/>
            <rFont val="Tahoma"/>
            <family val="0"/>
          </rPr>
          <t xml:space="preserve"> is the required output voltage hold up time.
The combination of t</t>
        </r>
        <r>
          <rPr>
            <vertAlign val="subscript"/>
            <sz val="8"/>
            <rFont val="Tahoma"/>
            <family val="2"/>
          </rPr>
          <t>HOLD</t>
        </r>
        <r>
          <rPr>
            <sz val="8"/>
            <rFont val="Tahoma"/>
            <family val="0"/>
          </rPr>
          <t xml:space="preserve"> and V</t>
        </r>
        <r>
          <rPr>
            <vertAlign val="subscript"/>
            <sz val="8"/>
            <rFont val="Tahoma"/>
            <family val="2"/>
          </rPr>
          <t>OUTMIN</t>
        </r>
        <r>
          <rPr>
            <sz val="8"/>
            <rFont val="Tahoma"/>
            <family val="0"/>
          </rPr>
          <t xml:space="preserve"> may determine the size of C</t>
        </r>
        <r>
          <rPr>
            <vertAlign val="subscript"/>
            <sz val="8"/>
            <rFont val="Tahoma"/>
            <family val="2"/>
          </rPr>
          <t>OUT</t>
        </r>
        <r>
          <rPr>
            <sz val="8"/>
            <rFont val="Tahoma"/>
            <family val="0"/>
          </rPr>
          <t>.
A typical value for hold up time is one line cycle.</t>
        </r>
      </text>
    </comment>
    <comment ref="F10" authorId="0">
      <text>
        <r>
          <rPr>
            <b/>
            <sz val="8"/>
            <rFont val="Tahoma"/>
            <family val="0"/>
          </rPr>
          <t>Note:</t>
        </r>
        <r>
          <rPr>
            <sz val="8"/>
            <rFont val="Tahoma"/>
            <family val="0"/>
          </rPr>
          <t xml:space="preserve">
The crossover frequency should be in the range of 1/10~1/5 of the line frequency.
This will allow a phase margin of 45º be obtained around the crossover frequency.</t>
        </r>
      </text>
    </comment>
    <comment ref="F11" authorId="0">
      <text>
        <r>
          <rPr>
            <b/>
            <sz val="8"/>
            <rFont val="Tahoma"/>
            <family val="0"/>
          </rPr>
          <t>Note:</t>
        </r>
        <r>
          <rPr>
            <sz val="8"/>
            <rFont val="Tahoma"/>
            <family val="0"/>
          </rPr>
          <t xml:space="preserve">
The high-frequency pole (f</t>
        </r>
        <r>
          <rPr>
            <vertAlign val="subscript"/>
            <sz val="8"/>
            <rFont val="Tahoma"/>
            <family val="2"/>
          </rPr>
          <t>HFP</t>
        </r>
        <r>
          <rPr>
            <sz val="8"/>
            <rFont val="Tahoma"/>
            <family val="0"/>
          </rPr>
          <t>) should be placed sufficiently lower than the switching frequency of the converter so noise can be effectively attenuated.  
It also must be placed at least a decade higher than f</t>
        </r>
        <r>
          <rPr>
            <vertAlign val="subscript"/>
            <sz val="8"/>
            <rFont val="Tahoma"/>
            <family val="2"/>
          </rPr>
          <t>c</t>
        </r>
        <r>
          <rPr>
            <sz val="8"/>
            <rFont val="Tahoma"/>
            <family val="0"/>
          </rPr>
          <t xml:space="preserve"> to ensure it does not interfere with the phase margin at its crossover frequency.
The recommended f</t>
        </r>
        <r>
          <rPr>
            <vertAlign val="subscript"/>
            <sz val="8"/>
            <rFont val="Tahoma"/>
            <family val="2"/>
          </rPr>
          <t>HFP</t>
        </r>
        <r>
          <rPr>
            <sz val="8"/>
            <rFont val="Tahoma"/>
            <family val="0"/>
          </rPr>
          <t xml:space="preserve"> frequency is around 250 Hz in PFC applications.</t>
        </r>
      </text>
    </comment>
    <comment ref="B36" authorId="0">
      <text>
        <r>
          <rPr>
            <b/>
            <sz val="8"/>
            <rFont val="Tahoma"/>
            <family val="0"/>
          </rPr>
          <t>Note:</t>
        </r>
        <r>
          <rPr>
            <sz val="8"/>
            <rFont val="Tahoma"/>
            <family val="0"/>
          </rPr>
          <t xml:space="preserve">
The C</t>
        </r>
        <r>
          <rPr>
            <vertAlign val="subscript"/>
            <sz val="8"/>
            <rFont val="Tahoma"/>
            <family val="2"/>
          </rPr>
          <t>COMPHF</t>
        </r>
        <r>
          <rPr>
            <sz val="8"/>
            <rFont val="Tahoma"/>
            <family val="0"/>
          </rPr>
          <t xml:space="preserve"> capacitor determines the feedback loop high frequency pole along with R</t>
        </r>
        <r>
          <rPr>
            <vertAlign val="subscript"/>
            <sz val="8"/>
            <rFont val="Tahoma"/>
            <family val="2"/>
          </rPr>
          <t>COMP</t>
        </r>
        <r>
          <rPr>
            <sz val="8"/>
            <rFont val="Tahoma"/>
            <family val="0"/>
          </rPr>
          <t>.</t>
        </r>
      </text>
    </comment>
    <comment ref="B35" authorId="0">
      <text>
        <r>
          <rPr>
            <b/>
            <sz val="8"/>
            <rFont val="Tahoma"/>
            <family val="0"/>
          </rPr>
          <t>Note:</t>
        </r>
        <r>
          <rPr>
            <sz val="8"/>
            <rFont val="Tahoma"/>
            <family val="0"/>
          </rPr>
          <t xml:space="preserve">
The R</t>
        </r>
        <r>
          <rPr>
            <vertAlign val="subscript"/>
            <sz val="8"/>
            <rFont val="Tahoma"/>
            <family val="2"/>
          </rPr>
          <t>COMP</t>
        </r>
        <r>
          <rPr>
            <sz val="8"/>
            <rFont val="Tahoma"/>
            <family val="0"/>
          </rPr>
          <t xml:space="preserve"> resistor determines the compensation zero and the high frequency pole with C</t>
        </r>
        <r>
          <rPr>
            <vertAlign val="subscript"/>
            <sz val="8"/>
            <rFont val="Tahoma"/>
            <family val="2"/>
          </rPr>
          <t>COMPLF</t>
        </r>
        <r>
          <rPr>
            <sz val="8"/>
            <rFont val="Tahoma"/>
            <family val="0"/>
          </rPr>
          <t xml:space="preserve"> and C</t>
        </r>
        <r>
          <rPr>
            <vertAlign val="subscript"/>
            <sz val="8"/>
            <rFont val="Tahoma"/>
            <family val="2"/>
          </rPr>
          <t>COMPHF</t>
        </r>
        <r>
          <rPr>
            <sz val="8"/>
            <rFont val="Tahoma"/>
            <family val="0"/>
          </rPr>
          <t>.
This value may need to be recalculated to optimize for the actual selection of C</t>
        </r>
        <r>
          <rPr>
            <vertAlign val="subscript"/>
            <sz val="8"/>
            <rFont val="Tahoma"/>
            <family val="2"/>
          </rPr>
          <t>COMPLF</t>
        </r>
        <r>
          <rPr>
            <sz val="8"/>
            <rFont val="Tahoma"/>
            <family val="2"/>
          </rPr>
          <t>.</t>
        </r>
      </text>
    </comment>
    <comment ref="B34" authorId="0">
      <text>
        <r>
          <rPr>
            <b/>
            <sz val="8"/>
            <rFont val="Tahoma"/>
            <family val="0"/>
          </rPr>
          <t>Note:</t>
        </r>
        <r>
          <rPr>
            <sz val="8"/>
            <rFont val="Tahoma"/>
            <family val="0"/>
          </rPr>
          <t xml:space="preserve">
The crossover frequency determines the value of C</t>
        </r>
        <r>
          <rPr>
            <vertAlign val="subscript"/>
            <sz val="8"/>
            <rFont val="Tahoma"/>
            <family val="2"/>
          </rPr>
          <t>COMPLF</t>
        </r>
        <r>
          <rPr>
            <sz val="8"/>
            <rFont val="Tahoma"/>
            <family val="0"/>
          </rPr>
          <t>.
The actual value of C</t>
        </r>
        <r>
          <rPr>
            <vertAlign val="subscript"/>
            <sz val="8"/>
            <rFont val="Tahoma"/>
            <family val="2"/>
          </rPr>
          <t>COMPLF</t>
        </r>
        <r>
          <rPr>
            <sz val="8"/>
            <rFont val="Tahoma"/>
            <family val="0"/>
          </rPr>
          <t xml:space="preserve"> should be selected as close to the calculated value as possible.
The values of R</t>
        </r>
        <r>
          <rPr>
            <vertAlign val="subscript"/>
            <sz val="8"/>
            <rFont val="Tahoma"/>
            <family val="2"/>
          </rPr>
          <t>COMP</t>
        </r>
        <r>
          <rPr>
            <sz val="8"/>
            <rFont val="Tahoma"/>
            <family val="0"/>
          </rPr>
          <t xml:space="preserve"> and C</t>
        </r>
        <r>
          <rPr>
            <vertAlign val="subscript"/>
            <sz val="8"/>
            <rFont val="Tahoma"/>
            <family val="2"/>
          </rPr>
          <t>COMPHF</t>
        </r>
        <r>
          <rPr>
            <sz val="8"/>
            <rFont val="Tahoma"/>
            <family val="0"/>
          </rPr>
          <t xml:space="preserve"> may need to be recalculated if the actual value of C</t>
        </r>
        <r>
          <rPr>
            <vertAlign val="subscript"/>
            <sz val="8"/>
            <rFont val="Tahoma"/>
            <family val="2"/>
          </rPr>
          <t>COMPLF</t>
        </r>
        <r>
          <rPr>
            <sz val="8"/>
            <rFont val="Tahoma"/>
            <family val="0"/>
          </rPr>
          <t xml:space="preserve"> changes significantly.</t>
        </r>
      </text>
    </comment>
    <comment ref="B33" authorId="0">
      <text>
        <r>
          <rPr>
            <b/>
            <sz val="8"/>
            <rFont val="Tahoma"/>
            <family val="0"/>
          </rPr>
          <t>Note:</t>
        </r>
        <r>
          <rPr>
            <sz val="8"/>
            <rFont val="Tahoma"/>
            <family val="0"/>
          </rPr>
          <t xml:space="preserve">
The soft-start capacitor (C</t>
        </r>
        <r>
          <rPr>
            <vertAlign val="subscript"/>
            <sz val="8"/>
            <rFont val="Tahoma"/>
            <family val="2"/>
          </rPr>
          <t>SS</t>
        </r>
        <r>
          <rPr>
            <sz val="8"/>
            <rFont val="Tahoma"/>
            <family val="0"/>
          </rPr>
          <t>) controls the soft-start time.
A larger capacitor will result in a longer soft-start time.</t>
        </r>
      </text>
    </comment>
    <comment ref="F38" authorId="0">
      <text>
        <r>
          <rPr>
            <b/>
            <sz val="8"/>
            <rFont val="Tahoma"/>
            <family val="0"/>
          </rPr>
          <t>Note:</t>
        </r>
        <r>
          <rPr>
            <sz val="8"/>
            <rFont val="Tahoma"/>
            <family val="0"/>
          </rPr>
          <t xml:space="preserve">
The current sensing resistors (R</t>
        </r>
        <r>
          <rPr>
            <vertAlign val="subscript"/>
            <sz val="8"/>
            <rFont val="Tahoma"/>
            <family val="2"/>
          </rPr>
          <t>CS1</t>
        </r>
        <r>
          <rPr>
            <sz val="8"/>
            <rFont val="Tahoma"/>
            <family val="0"/>
          </rPr>
          <t xml:space="preserve"> , R</t>
        </r>
        <r>
          <rPr>
            <vertAlign val="subscript"/>
            <sz val="8"/>
            <rFont val="Tahoma"/>
            <family val="2"/>
          </rPr>
          <t>CS2</t>
        </r>
        <r>
          <rPr>
            <sz val="8"/>
            <rFont val="Tahoma"/>
            <family val="0"/>
          </rPr>
          <t>) set the maximum power limit on each channel.</t>
        </r>
      </text>
    </comment>
    <comment ref="F39" authorId="0">
      <text>
        <r>
          <rPr>
            <b/>
            <sz val="8"/>
            <rFont val="Tahoma"/>
            <family val="0"/>
          </rPr>
          <t>Note:</t>
        </r>
        <r>
          <rPr>
            <sz val="8"/>
            <rFont val="Tahoma"/>
            <family val="0"/>
          </rPr>
          <t xml:space="preserve">
The size and type of current sense resistors depends on their power dissipation and manufacturing considerations.</t>
        </r>
      </text>
    </comment>
    <comment ref="F35" authorId="0">
      <text>
        <r>
          <rPr>
            <b/>
            <sz val="8"/>
            <rFont val="Tahoma"/>
            <family val="0"/>
          </rPr>
          <t>Note:</t>
        </r>
        <r>
          <rPr>
            <sz val="8"/>
            <rFont val="Tahoma"/>
            <family val="0"/>
          </rPr>
          <t xml:space="preserve">
It is recommended to place a low value resistor between the gate drive outputs and their corresponding power devices.
The gate drive resistors limit the current drawn from the VDD bypass capacitor during the turn-on of the power MOSFETs 
and attenuates potential oscillation in the gate drive circuits.</t>
        </r>
      </text>
    </comment>
    <comment ref="F15" authorId="0">
      <text>
        <r>
          <rPr>
            <b/>
            <sz val="8"/>
            <rFont val="Tahoma"/>
            <family val="0"/>
          </rPr>
          <t>Note:</t>
        </r>
        <r>
          <rPr>
            <sz val="8"/>
            <rFont val="Tahoma"/>
            <family val="0"/>
          </rPr>
          <t xml:space="preserve">
K</t>
        </r>
        <r>
          <rPr>
            <vertAlign val="subscript"/>
            <sz val="8"/>
            <rFont val="Tahoma"/>
            <family val="2"/>
          </rPr>
          <t>MAX</t>
        </r>
        <r>
          <rPr>
            <sz val="8"/>
            <rFont val="Tahoma"/>
            <family val="0"/>
          </rPr>
          <t xml:space="preserve"> is the maximum power limiting factor, which is the ratio between the limited maximum output power and nominal output power.
Considering the tolerances of inductor, resistor and controller variation;
it is typical to set the limited maximum power as 20%-30% higher than the nominal output power (K</t>
        </r>
        <r>
          <rPr>
            <vertAlign val="subscript"/>
            <sz val="8"/>
            <rFont val="Tahoma"/>
            <family val="2"/>
          </rPr>
          <t>MAX</t>
        </r>
        <r>
          <rPr>
            <sz val="8"/>
            <rFont val="Tahoma"/>
            <family val="0"/>
          </rPr>
          <t xml:space="preserve"> = 1.2~1.3).</t>
        </r>
      </text>
    </comment>
    <comment ref="B24" authorId="0">
      <text>
        <r>
          <rPr>
            <b/>
            <sz val="8"/>
            <rFont val="Tahoma"/>
            <family val="0"/>
          </rPr>
          <t>Note:</t>
        </r>
        <r>
          <rPr>
            <sz val="8"/>
            <rFont val="Tahoma"/>
            <family val="0"/>
          </rPr>
          <t xml:space="preserve">
P</t>
        </r>
        <r>
          <rPr>
            <vertAlign val="subscript"/>
            <sz val="8"/>
            <rFont val="Tahoma"/>
            <family val="2"/>
          </rPr>
          <t>MAXCH</t>
        </r>
        <r>
          <rPr>
            <sz val="8"/>
            <rFont val="Tahoma"/>
            <family val="0"/>
          </rPr>
          <t xml:space="preserve"> is the limited maximum output power per channel.  
The maximum on time is derived from this parameter.</t>
        </r>
      </text>
    </comment>
    <comment ref="F9" authorId="0">
      <text>
        <r>
          <rPr>
            <b/>
            <sz val="8"/>
            <rFont val="Tahoma"/>
            <family val="0"/>
          </rPr>
          <t>Note:</t>
        </r>
        <r>
          <rPr>
            <sz val="8"/>
            <rFont val="Tahoma"/>
            <family val="0"/>
          </rPr>
          <t xml:space="preserve">
V</t>
        </r>
        <r>
          <rPr>
            <vertAlign val="subscript"/>
            <sz val="8"/>
            <rFont val="Tahoma"/>
            <family val="2"/>
          </rPr>
          <t>DDMAX</t>
        </r>
        <r>
          <rPr>
            <sz val="8"/>
            <rFont val="Tahoma"/>
            <family val="0"/>
          </rPr>
          <t xml:space="preserve"> for the FAN9612 should be above the maximum UVLO turn-on threshold (13 V) and below the maximum voltage rating (20 V).</t>
        </r>
      </text>
    </comment>
    <comment ref="F8" authorId="0">
      <text>
        <r>
          <rPr>
            <b/>
            <sz val="8"/>
            <rFont val="Tahoma"/>
            <family val="0"/>
          </rPr>
          <t>Note:</t>
        </r>
        <r>
          <rPr>
            <sz val="8"/>
            <rFont val="Tahoma"/>
            <family val="0"/>
          </rPr>
          <t xml:space="preserve">
The minimum switching frequency (f</t>
        </r>
        <r>
          <rPr>
            <vertAlign val="subscript"/>
            <sz val="8"/>
            <rFont val="Tahoma"/>
            <family val="2"/>
          </rPr>
          <t>SWMIN</t>
        </r>
        <r>
          <rPr>
            <sz val="8"/>
            <rFont val="Tahoma"/>
            <family val="0"/>
          </rPr>
          <t>) should be determined by the trade-off between efficiency and the size of magnetic components.  
The minimum switching frequency must be above the minimum frequency of the FAN9612, which is set at 18 kHz to prevent audible noise.  
It also must be set to less than the maximum frequency clamp of 600 kHz.</t>
        </r>
      </text>
    </comment>
    <comment ref="B11" authorId="0">
      <text>
        <r>
          <rPr>
            <b/>
            <sz val="8"/>
            <rFont val="Tahoma"/>
            <family val="0"/>
          </rPr>
          <t>Note:</t>
        </r>
        <r>
          <rPr>
            <sz val="8"/>
            <rFont val="Tahoma"/>
            <family val="0"/>
          </rPr>
          <t xml:space="preserve">
f</t>
        </r>
        <r>
          <rPr>
            <vertAlign val="subscript"/>
            <sz val="8"/>
            <rFont val="Tahoma"/>
            <family val="2"/>
          </rPr>
          <t>LINEMIN</t>
        </r>
        <r>
          <rPr>
            <sz val="8"/>
            <rFont val="Tahoma"/>
            <family val="0"/>
          </rPr>
          <t xml:space="preserve"> is the minimum frequency expected to see on the line.  
Default value is 50 Hz.</t>
        </r>
      </text>
    </comment>
    <comment ref="B28" authorId="0">
      <text>
        <r>
          <rPr>
            <b/>
            <sz val="8"/>
            <rFont val="Tahoma"/>
            <family val="0"/>
          </rPr>
          <t>Note:</t>
        </r>
        <r>
          <rPr>
            <sz val="8"/>
            <rFont val="Tahoma"/>
            <family val="0"/>
          </rPr>
          <t xml:space="preserve">
The maximum DC output current is determined by the maximum output power per channel (P</t>
        </r>
        <r>
          <rPr>
            <vertAlign val="subscript"/>
            <sz val="8"/>
            <rFont val="Tahoma"/>
            <family val="2"/>
          </rPr>
          <t>MAXCH</t>
        </r>
        <r>
          <rPr>
            <sz val="8"/>
            <rFont val="Tahoma"/>
            <family val="0"/>
          </rPr>
          <t>).</t>
        </r>
      </text>
    </comment>
    <comment ref="B12" authorId="0">
      <text>
        <r>
          <rPr>
            <b/>
            <sz val="8"/>
            <rFont val="Tahoma"/>
            <family val="0"/>
          </rPr>
          <t>Note:</t>
        </r>
        <r>
          <rPr>
            <sz val="8"/>
            <rFont val="Tahoma"/>
            <family val="0"/>
          </rPr>
          <t xml:space="preserve">
V</t>
        </r>
        <r>
          <rPr>
            <vertAlign val="subscript"/>
            <sz val="8"/>
            <rFont val="Tahoma"/>
            <family val="2"/>
          </rPr>
          <t>OUT</t>
        </r>
        <r>
          <rPr>
            <sz val="8"/>
            <rFont val="Tahoma"/>
            <family val="0"/>
          </rPr>
          <t xml:space="preserve"> must be set above the maximum peak line voltage in order for the FAN9612 to properly regulate the output.
In order for the ZCD circuit to operate properly, there also must be enough headroom voltage present on the auxiliary winding.
In general, it is recommended that at least 2 V be present on the auxiliary winding at high line.</t>
        </r>
      </text>
    </comment>
    <comment ref="F7" authorId="0">
      <text>
        <r>
          <rPr>
            <b/>
            <sz val="8"/>
            <rFont val="Tahoma"/>
            <family val="0"/>
          </rPr>
          <t>Note:</t>
        </r>
        <r>
          <rPr>
            <sz val="8"/>
            <rFont val="Tahoma"/>
            <family val="0"/>
          </rPr>
          <t xml:space="preserve">
V</t>
        </r>
        <r>
          <rPr>
            <vertAlign val="subscript"/>
            <sz val="8"/>
            <rFont val="Tahoma"/>
            <family val="2"/>
          </rPr>
          <t>OUTMIN</t>
        </r>
        <r>
          <rPr>
            <sz val="8"/>
            <rFont val="Tahoma"/>
            <family val="0"/>
          </rPr>
          <t xml:space="preserve"> is the minimum output voltage desired at the end of t</t>
        </r>
        <r>
          <rPr>
            <vertAlign val="subscript"/>
            <sz val="8"/>
            <rFont val="Tahoma"/>
            <family val="2"/>
          </rPr>
          <t>HOLD</t>
        </r>
        <r>
          <rPr>
            <sz val="8"/>
            <rFont val="Tahoma"/>
            <family val="0"/>
          </rPr>
          <t>.
This value must be less than the nominal DC output (VOUT) minus half the ripple voltage.</t>
        </r>
      </text>
    </comment>
    <comment ref="B14" authorId="0">
      <text>
        <r>
          <rPr>
            <b/>
            <sz val="8"/>
            <rFont val="Tahoma"/>
            <family val="0"/>
          </rPr>
          <t>Note:</t>
        </r>
        <r>
          <rPr>
            <sz val="8"/>
            <rFont val="Tahoma"/>
            <family val="0"/>
          </rPr>
          <t xml:space="preserve">
The latching output OVP (V</t>
        </r>
        <r>
          <rPr>
            <vertAlign val="subscript"/>
            <sz val="8"/>
            <rFont val="Tahoma"/>
            <family val="2"/>
          </rPr>
          <t>OUTLATCH</t>
        </r>
        <r>
          <rPr>
            <sz val="8"/>
            <rFont val="Tahoma"/>
            <family val="0"/>
          </rPr>
          <t>) must be set greater than V</t>
        </r>
        <r>
          <rPr>
            <vertAlign val="subscript"/>
            <sz val="8"/>
            <rFont val="Tahoma"/>
            <family val="2"/>
          </rPr>
          <t>OUT</t>
        </r>
        <r>
          <rPr>
            <sz val="8"/>
            <rFont val="Tahoma"/>
            <family val="0"/>
          </rPr>
          <t xml:space="preserve"> + V</t>
        </r>
        <r>
          <rPr>
            <vertAlign val="subscript"/>
            <sz val="8"/>
            <rFont val="Tahoma"/>
            <family val="2"/>
          </rPr>
          <t>OUTRIPPLE</t>
        </r>
        <r>
          <rPr>
            <sz val="8"/>
            <rFont val="Tahoma"/>
            <family val="0"/>
          </rPr>
          <t>/2 in order to not trip during normal operation.
As this is a latching protection feature, there must also be some headroom built in to allow for line and load transients.</t>
        </r>
      </text>
    </comment>
    <comment ref="B15" authorId="0">
      <text>
        <r>
          <rPr>
            <b/>
            <sz val="8"/>
            <rFont val="Tahoma"/>
            <family val="0"/>
          </rPr>
          <t>Note:</t>
        </r>
        <r>
          <rPr>
            <sz val="8"/>
            <rFont val="Tahoma"/>
            <family val="0"/>
          </rPr>
          <t xml:space="preserve">
The FAN9612 Dual Boundary Conduction Mode (BCM) controller provides practical output power in the range of 200 to 1000 W.  </t>
        </r>
      </text>
    </comment>
    <comment ref="B13" authorId="0">
      <text>
        <r>
          <rPr>
            <b/>
            <sz val="8"/>
            <rFont val="Tahoma"/>
            <family val="0"/>
          </rPr>
          <t>Note:</t>
        </r>
        <r>
          <rPr>
            <sz val="8"/>
            <rFont val="Tahoma"/>
            <family val="0"/>
          </rPr>
          <t xml:space="preserve">
V</t>
        </r>
        <r>
          <rPr>
            <vertAlign val="subscript"/>
            <sz val="8"/>
            <rFont val="Tahoma"/>
            <family val="2"/>
          </rPr>
          <t>OUTRIPPLE</t>
        </r>
        <r>
          <rPr>
            <sz val="8"/>
            <rFont val="Tahoma"/>
            <family val="0"/>
          </rPr>
          <t xml:space="preserve"> is the peak-to-peak voltage ripple on V</t>
        </r>
        <r>
          <rPr>
            <vertAlign val="subscript"/>
            <sz val="8"/>
            <rFont val="Tahoma"/>
            <family val="2"/>
          </rPr>
          <t>OUT</t>
        </r>
        <r>
          <rPr>
            <sz val="8"/>
            <rFont val="Tahoma"/>
            <family val="0"/>
          </rPr>
          <t>.</t>
        </r>
      </text>
    </comment>
    <comment ref="B16" authorId="0">
      <text>
        <r>
          <rPr>
            <b/>
            <sz val="8"/>
            <rFont val="Tahoma"/>
            <family val="0"/>
          </rPr>
          <t>Note:</t>
        </r>
        <r>
          <rPr>
            <sz val="8"/>
            <rFont val="Tahoma"/>
            <family val="0"/>
          </rPr>
          <t xml:space="preserve">
dV</t>
        </r>
        <r>
          <rPr>
            <vertAlign val="subscript"/>
            <sz val="8"/>
            <rFont val="Tahoma"/>
            <family val="2"/>
          </rPr>
          <t>OUT</t>
        </r>
        <r>
          <rPr>
            <sz val="8"/>
            <rFont val="Tahoma"/>
            <family val="0"/>
          </rPr>
          <t>/dt is the ramp rate of the output voltage during start up.
This value is a function of the maximum output current and the output capacitance.  
The ramp rate cannot exceed the ramp rate of half the maximum output current charging the output capacitor (I</t>
        </r>
        <r>
          <rPr>
            <vertAlign val="subscript"/>
            <sz val="8"/>
            <rFont val="Tahoma"/>
            <family val="2"/>
          </rPr>
          <t>OMAX</t>
        </r>
        <r>
          <rPr>
            <sz val="8"/>
            <rFont val="Tahoma"/>
            <family val="0"/>
          </rPr>
          <t>/(2*C</t>
        </r>
        <r>
          <rPr>
            <vertAlign val="subscript"/>
            <sz val="8"/>
            <rFont val="Tahoma"/>
            <family val="2"/>
          </rPr>
          <t>OUT</t>
        </r>
        <r>
          <rPr>
            <sz val="8"/>
            <rFont val="Tahoma"/>
            <family val="0"/>
          </rPr>
          <t>).</t>
        </r>
      </text>
    </comment>
    <comment ref="B9" authorId="0">
      <text>
        <r>
          <rPr>
            <b/>
            <sz val="8"/>
            <rFont val="Tahoma"/>
            <family val="0"/>
          </rPr>
          <t>Note:</t>
        </r>
        <r>
          <rPr>
            <sz val="8"/>
            <rFont val="Tahoma"/>
            <family val="0"/>
          </rPr>
          <t xml:space="preserve">
The V</t>
        </r>
        <r>
          <rPr>
            <vertAlign val="subscript"/>
            <sz val="8"/>
            <rFont val="Tahoma"/>
            <family val="2"/>
          </rPr>
          <t>LINENominal</t>
        </r>
        <r>
          <rPr>
            <sz val="8"/>
            <rFont val="Tahoma"/>
            <family val="0"/>
          </rPr>
          <t xml:space="preserve"> parameter sets the RMS voltage at which the FAN9612 typically operates.  </t>
        </r>
      </text>
    </comment>
    <comment ref="B23" authorId="0">
      <text>
        <r>
          <rPr>
            <b/>
            <sz val="8"/>
            <rFont val="Tahoma"/>
            <family val="0"/>
          </rPr>
          <t>Note:</t>
        </r>
        <r>
          <rPr>
            <sz val="8"/>
            <rFont val="Tahoma"/>
            <family val="0"/>
          </rPr>
          <t xml:space="preserve">
P</t>
        </r>
        <r>
          <rPr>
            <vertAlign val="subscript"/>
            <sz val="8"/>
            <rFont val="Tahoma"/>
            <family val="2"/>
          </rPr>
          <t>OUTCH</t>
        </r>
        <r>
          <rPr>
            <sz val="8"/>
            <rFont val="Tahoma"/>
            <family val="0"/>
          </rPr>
          <t xml:space="preserve"> is the full load output power per channel.  </t>
        </r>
      </text>
    </comment>
    <comment ref="F19" authorId="1">
      <text>
        <r>
          <rPr>
            <b/>
            <sz val="8"/>
            <rFont val="Tahoma"/>
            <family val="2"/>
          </rPr>
          <t>Note:</t>
        </r>
        <r>
          <rPr>
            <sz val="8"/>
            <rFont val="Tahoma"/>
            <family val="2"/>
          </rPr>
          <t xml:space="preserve">
Line over voltage protection trip point.
In general: VLine,ovp=VLINEOFF*3.7/0.925.</t>
        </r>
      </text>
    </comment>
    <comment ref="F20" authorId="1">
      <text>
        <r>
          <rPr>
            <b/>
            <sz val="8"/>
            <rFont val="Tahoma"/>
            <family val="2"/>
          </rPr>
          <t>Note:</t>
        </r>
        <r>
          <rPr>
            <sz val="8"/>
            <rFont val="Tahoma"/>
            <family val="2"/>
          </rPr>
          <t xml:space="preserve">
RINHYST can be saved if this min. allowable brown-out hysteresis is higher than or equals to (Vline_On - Vline_Off)</t>
        </r>
      </text>
    </comment>
    <comment ref="B31" authorId="1">
      <text>
        <r>
          <rPr>
            <b/>
            <sz val="8"/>
            <rFont val="Tahoma"/>
            <family val="2"/>
          </rPr>
          <t>Note:</t>
        </r>
        <r>
          <rPr>
            <sz val="8"/>
            <rFont val="Tahoma"/>
            <family val="2"/>
          </rPr>
          <t xml:space="preserve">
Typical value for reference.</t>
        </r>
      </text>
    </comment>
    <comment ref="F36" authorId="1">
      <text>
        <r>
          <rPr>
            <b/>
            <sz val="8"/>
            <rFont val="Tahoma"/>
            <family val="2"/>
          </rPr>
          <t>Note:</t>
        </r>
        <r>
          <rPr>
            <sz val="8"/>
            <rFont val="Tahoma"/>
            <family val="2"/>
          </rPr>
          <t xml:space="preserve">
Typical value for reference.</t>
        </r>
      </text>
    </comment>
    <comment ref="F37" authorId="1">
      <text>
        <r>
          <rPr>
            <b/>
            <sz val="8"/>
            <rFont val="Tahoma"/>
            <family val="2"/>
          </rPr>
          <t>Note:</t>
        </r>
        <r>
          <rPr>
            <sz val="8"/>
            <rFont val="Tahoma"/>
            <family val="2"/>
          </rPr>
          <t xml:space="preserve">
Typical value for reference.</t>
        </r>
      </text>
    </comment>
  </commentList>
</comments>
</file>

<file path=xl/comments5.xml><?xml version="1.0" encoding="utf-8"?>
<comments xmlns="http://schemas.openxmlformats.org/spreadsheetml/2006/main">
  <authors>
    <author>Note</author>
    <author>Fairchild Semiconductor</author>
  </authors>
  <commentList>
    <comment ref="A49" authorId="0">
      <text>
        <r>
          <rPr>
            <b/>
            <sz val="8"/>
            <rFont val="Tahoma"/>
            <family val="0"/>
          </rPr>
          <t>Note:</t>
        </r>
        <r>
          <rPr>
            <sz val="8"/>
            <rFont val="Tahoma"/>
            <family val="0"/>
          </rPr>
          <t xml:space="preserve">
The voltage of the ZCD pins is clamped near zero.
The R</t>
        </r>
        <r>
          <rPr>
            <vertAlign val="subscript"/>
            <sz val="8"/>
            <rFont val="Tahoma"/>
            <family val="2"/>
          </rPr>
          <t>ZCD</t>
        </r>
        <r>
          <rPr>
            <sz val="8"/>
            <rFont val="Tahoma"/>
            <family val="0"/>
          </rPr>
          <t xml:space="preserve"> resistors limit the current of the ZCD pins below 1 mA.
</t>
        </r>
      </text>
    </comment>
    <comment ref="A22" authorId="0">
      <text>
        <r>
          <rPr>
            <b/>
            <sz val="8"/>
            <rFont val="Tahoma"/>
            <family val="0"/>
          </rPr>
          <t>Note:</t>
        </r>
        <r>
          <rPr>
            <sz val="8"/>
            <rFont val="Tahoma"/>
            <family val="0"/>
          </rPr>
          <t xml:space="preserve">
The RMOT resistor sets the maximum on time for each gate drive signal.
This value should be in the range of 40 kΩ to 130 kΩ.  </t>
        </r>
      </text>
    </comment>
    <comment ref="A43" authorId="0">
      <text>
        <r>
          <rPr>
            <b/>
            <sz val="8"/>
            <rFont val="Tahoma"/>
            <family val="0"/>
          </rPr>
          <t>Note:</t>
        </r>
        <r>
          <rPr>
            <sz val="8"/>
            <rFont val="Tahoma"/>
            <family val="0"/>
          </rPr>
          <t xml:space="preserve">
The soft-start capacitor (C</t>
        </r>
        <r>
          <rPr>
            <vertAlign val="subscript"/>
            <sz val="8"/>
            <rFont val="Tahoma"/>
            <family val="2"/>
          </rPr>
          <t>SS</t>
        </r>
        <r>
          <rPr>
            <sz val="8"/>
            <rFont val="Tahoma"/>
            <family val="0"/>
          </rPr>
          <t>) controls the soft-start time.
A larger capacitor will result in a longer soft-start time.</t>
        </r>
      </text>
    </comment>
    <comment ref="A38" authorId="0">
      <text>
        <r>
          <rPr>
            <b/>
            <sz val="8"/>
            <rFont val="Tahoma"/>
            <family val="0"/>
          </rPr>
          <t>Note:</t>
        </r>
        <r>
          <rPr>
            <sz val="8"/>
            <rFont val="Tahoma"/>
            <family val="0"/>
          </rPr>
          <t xml:space="preserve">
The crossover frequency determines the value of C</t>
        </r>
        <r>
          <rPr>
            <vertAlign val="subscript"/>
            <sz val="8"/>
            <rFont val="Tahoma"/>
            <family val="2"/>
          </rPr>
          <t>COMPLF</t>
        </r>
        <r>
          <rPr>
            <sz val="8"/>
            <rFont val="Tahoma"/>
            <family val="0"/>
          </rPr>
          <t>.
The actual value of C</t>
        </r>
        <r>
          <rPr>
            <vertAlign val="subscript"/>
            <sz val="8"/>
            <rFont val="Tahoma"/>
            <family val="2"/>
          </rPr>
          <t>COMPLF</t>
        </r>
        <r>
          <rPr>
            <sz val="8"/>
            <rFont val="Tahoma"/>
            <family val="0"/>
          </rPr>
          <t xml:space="preserve"> should be selected as close to the calculated value as possible.
The values of R</t>
        </r>
        <r>
          <rPr>
            <vertAlign val="subscript"/>
            <sz val="8"/>
            <rFont val="Tahoma"/>
            <family val="2"/>
          </rPr>
          <t>COMP</t>
        </r>
        <r>
          <rPr>
            <sz val="8"/>
            <rFont val="Tahoma"/>
            <family val="0"/>
          </rPr>
          <t xml:space="preserve"> and C</t>
        </r>
        <r>
          <rPr>
            <vertAlign val="subscript"/>
            <sz val="8"/>
            <rFont val="Tahoma"/>
            <family val="2"/>
          </rPr>
          <t>COMPHF</t>
        </r>
        <r>
          <rPr>
            <sz val="8"/>
            <rFont val="Tahoma"/>
            <family val="0"/>
          </rPr>
          <t xml:space="preserve"> may need to be recalculated if the actual value of C</t>
        </r>
        <r>
          <rPr>
            <vertAlign val="subscript"/>
            <sz val="8"/>
            <rFont val="Tahoma"/>
            <family val="2"/>
          </rPr>
          <t>COMPLF</t>
        </r>
        <r>
          <rPr>
            <sz val="8"/>
            <rFont val="Tahoma"/>
            <family val="0"/>
          </rPr>
          <t xml:space="preserve"> changes significantly.</t>
        </r>
      </text>
    </comment>
    <comment ref="A39" authorId="0">
      <text>
        <r>
          <rPr>
            <b/>
            <sz val="8"/>
            <rFont val="Tahoma"/>
            <family val="0"/>
          </rPr>
          <t>Note:</t>
        </r>
        <r>
          <rPr>
            <sz val="8"/>
            <rFont val="Tahoma"/>
            <family val="0"/>
          </rPr>
          <t xml:space="preserve">
The R</t>
        </r>
        <r>
          <rPr>
            <vertAlign val="subscript"/>
            <sz val="8"/>
            <rFont val="Tahoma"/>
            <family val="2"/>
          </rPr>
          <t>COMP</t>
        </r>
        <r>
          <rPr>
            <sz val="8"/>
            <rFont val="Tahoma"/>
            <family val="0"/>
          </rPr>
          <t xml:space="preserve"> resistor determines the compensation zero and the high frequency pole with C</t>
        </r>
        <r>
          <rPr>
            <vertAlign val="subscript"/>
            <sz val="8"/>
            <rFont val="Tahoma"/>
            <family val="2"/>
          </rPr>
          <t>COMPLF</t>
        </r>
        <r>
          <rPr>
            <sz val="8"/>
            <rFont val="Tahoma"/>
            <family val="0"/>
          </rPr>
          <t xml:space="preserve"> and C</t>
        </r>
        <r>
          <rPr>
            <vertAlign val="subscript"/>
            <sz val="8"/>
            <rFont val="Tahoma"/>
            <family val="2"/>
          </rPr>
          <t>COMPHF</t>
        </r>
        <r>
          <rPr>
            <sz val="8"/>
            <rFont val="Tahoma"/>
            <family val="0"/>
          </rPr>
          <t>.
This value may need to be recalculated to optimize for the actual selection of C</t>
        </r>
        <r>
          <rPr>
            <vertAlign val="subscript"/>
            <sz val="8"/>
            <rFont val="Tahoma"/>
            <family val="2"/>
          </rPr>
          <t>COMPLF</t>
        </r>
        <r>
          <rPr>
            <sz val="8"/>
            <rFont val="Tahoma"/>
            <family val="2"/>
          </rPr>
          <t>.</t>
        </r>
      </text>
    </comment>
    <comment ref="A40" authorId="0">
      <text>
        <r>
          <rPr>
            <b/>
            <sz val="8"/>
            <rFont val="Tahoma"/>
            <family val="0"/>
          </rPr>
          <t>Note:</t>
        </r>
        <r>
          <rPr>
            <sz val="8"/>
            <rFont val="Tahoma"/>
            <family val="0"/>
          </rPr>
          <t xml:space="preserve">
The C</t>
        </r>
        <r>
          <rPr>
            <vertAlign val="subscript"/>
            <sz val="8"/>
            <rFont val="Tahoma"/>
            <family val="2"/>
          </rPr>
          <t>COMPHF</t>
        </r>
        <r>
          <rPr>
            <sz val="8"/>
            <rFont val="Tahoma"/>
            <family val="0"/>
          </rPr>
          <t xml:space="preserve"> capacitor determines the feedback loop high frequency pole along with R</t>
        </r>
        <r>
          <rPr>
            <vertAlign val="subscript"/>
            <sz val="8"/>
            <rFont val="Tahoma"/>
            <family val="2"/>
          </rPr>
          <t>COMP</t>
        </r>
        <r>
          <rPr>
            <sz val="8"/>
            <rFont val="Tahoma"/>
            <family val="0"/>
          </rPr>
          <t>.</t>
        </r>
      </text>
    </comment>
    <comment ref="A8" authorId="0">
      <text>
        <r>
          <rPr>
            <b/>
            <sz val="8"/>
            <rFont val="Tahoma"/>
            <family val="0"/>
          </rPr>
          <t>Note:</t>
        </r>
        <r>
          <rPr>
            <sz val="8"/>
            <rFont val="Tahoma"/>
            <family val="0"/>
          </rPr>
          <t xml:space="preserve">
R</t>
        </r>
        <r>
          <rPr>
            <vertAlign val="subscript"/>
            <sz val="8"/>
            <rFont val="Tahoma"/>
            <family val="2"/>
          </rPr>
          <t>FB1</t>
        </r>
        <r>
          <rPr>
            <sz val="8"/>
            <rFont val="Tahoma"/>
            <family val="0"/>
          </rPr>
          <t xml:space="preserve"> is the upper resistor in the feedback divider.
To regulate the output voltage, the voltage divider should be designed to result in 3 V to the feedback pin.</t>
        </r>
      </text>
    </comment>
    <comment ref="A9" authorId="0">
      <text>
        <r>
          <rPr>
            <b/>
            <sz val="8"/>
            <rFont val="Tahoma"/>
            <family val="0"/>
          </rPr>
          <t>Note:</t>
        </r>
        <r>
          <rPr>
            <sz val="8"/>
            <rFont val="Tahoma"/>
            <family val="0"/>
          </rPr>
          <t xml:space="preserve">
R</t>
        </r>
        <r>
          <rPr>
            <vertAlign val="subscript"/>
            <sz val="8"/>
            <rFont val="Tahoma"/>
            <family val="2"/>
          </rPr>
          <t>FB2</t>
        </r>
        <r>
          <rPr>
            <sz val="8"/>
            <rFont val="Tahoma"/>
            <family val="0"/>
          </rPr>
          <t xml:space="preserve"> is the lower resistor in the feedback divider.
To regulate the output voltage, the voltage divider should be designed to result in 3 V to the feedback pin.</t>
        </r>
      </text>
    </comment>
    <comment ref="A12" authorId="0">
      <text>
        <r>
          <rPr>
            <b/>
            <sz val="8"/>
            <rFont val="Tahoma"/>
            <family val="0"/>
          </rPr>
          <t>Note:</t>
        </r>
        <r>
          <rPr>
            <sz val="8"/>
            <rFont val="Tahoma"/>
            <family val="0"/>
          </rPr>
          <t xml:space="preserve">
R</t>
        </r>
        <r>
          <rPr>
            <vertAlign val="subscript"/>
            <sz val="8"/>
            <rFont val="Tahoma"/>
            <family val="2"/>
          </rPr>
          <t>OV1</t>
        </r>
        <r>
          <rPr>
            <sz val="8"/>
            <rFont val="Tahoma"/>
            <family val="0"/>
          </rPr>
          <t xml:space="preserve"> is the upper resistor in the output over voltage sense divider.
The voltage divider should be designed such that 3.5 V on the feedback pin results in the desired output OVP voltage. </t>
        </r>
      </text>
    </comment>
    <comment ref="A13" authorId="0">
      <text>
        <r>
          <rPr>
            <b/>
            <sz val="8"/>
            <rFont val="Tahoma"/>
            <family val="0"/>
          </rPr>
          <t>Note:</t>
        </r>
        <r>
          <rPr>
            <sz val="8"/>
            <rFont val="Tahoma"/>
            <family val="0"/>
          </rPr>
          <t xml:space="preserve">
R</t>
        </r>
        <r>
          <rPr>
            <vertAlign val="subscript"/>
            <sz val="8"/>
            <rFont val="Tahoma"/>
            <family val="2"/>
          </rPr>
          <t>OV2</t>
        </r>
        <r>
          <rPr>
            <sz val="8"/>
            <rFont val="Tahoma"/>
            <family val="0"/>
          </rPr>
          <t xml:space="preserve"> is the lower resistor in the output over voltage sense divider.
The voltage divider should be designed such that 3.5 V on the feedback pin results in the desired output OVP voltage. </t>
        </r>
      </text>
    </comment>
    <comment ref="A16" authorId="0">
      <text>
        <r>
          <rPr>
            <b/>
            <sz val="8"/>
            <rFont val="Tahoma"/>
            <family val="0"/>
          </rPr>
          <t>Note:</t>
        </r>
        <r>
          <rPr>
            <sz val="8"/>
            <rFont val="Tahoma"/>
            <family val="0"/>
          </rPr>
          <t xml:space="preserve">
R</t>
        </r>
        <r>
          <rPr>
            <vertAlign val="subscript"/>
            <sz val="8"/>
            <rFont val="Tahoma"/>
            <family val="2"/>
          </rPr>
          <t>IN2</t>
        </r>
        <r>
          <rPr>
            <sz val="8"/>
            <rFont val="Tahoma"/>
            <family val="0"/>
          </rPr>
          <t xml:space="preserve"> is the upper portion of the input voltage sense divider.
This information is used for line UVLO, OVP and line feed-forward for PWM control.</t>
        </r>
      </text>
    </comment>
    <comment ref="A17" authorId="0">
      <text>
        <r>
          <rPr>
            <b/>
            <sz val="8"/>
            <rFont val="Tahoma"/>
            <family val="0"/>
          </rPr>
          <t>Note:</t>
        </r>
        <r>
          <rPr>
            <sz val="8"/>
            <rFont val="Tahoma"/>
            <family val="0"/>
          </rPr>
          <t xml:space="preserve">
R</t>
        </r>
        <r>
          <rPr>
            <vertAlign val="subscript"/>
            <sz val="8"/>
            <rFont val="Tahoma"/>
            <family val="2"/>
          </rPr>
          <t>IN2</t>
        </r>
        <r>
          <rPr>
            <sz val="8"/>
            <rFont val="Tahoma"/>
            <family val="0"/>
          </rPr>
          <t xml:space="preserve"> is the lower portion of the input voltage sense divider.
This information is used for line UVLO, OVP and line feed-forward for PWM control.</t>
        </r>
      </text>
    </comment>
    <comment ref="A18" authorId="0">
      <text>
        <r>
          <rPr>
            <b/>
            <sz val="8"/>
            <rFont val="Tahoma"/>
            <family val="0"/>
          </rPr>
          <t>Note:</t>
        </r>
        <r>
          <rPr>
            <sz val="8"/>
            <rFont val="Tahoma"/>
            <family val="0"/>
          </rPr>
          <t xml:space="preserve">
R</t>
        </r>
        <r>
          <rPr>
            <vertAlign val="subscript"/>
            <sz val="8"/>
            <rFont val="Tahoma"/>
            <family val="2"/>
          </rPr>
          <t>INHYST</t>
        </r>
        <r>
          <rPr>
            <sz val="8"/>
            <rFont val="Tahoma"/>
            <family val="0"/>
          </rPr>
          <t xml:space="preserve"> is used to add additional hysteresis to the UVLO hysteresis on the line voltage.  
A value of zero for R</t>
        </r>
        <r>
          <rPr>
            <vertAlign val="subscript"/>
            <sz val="8"/>
            <rFont val="Tahoma"/>
            <family val="2"/>
          </rPr>
          <t>INHYST</t>
        </r>
        <r>
          <rPr>
            <sz val="8"/>
            <rFont val="Tahoma"/>
            <family val="0"/>
          </rPr>
          <t xml:space="preserve"> will result in the minimum amount of hysteresis.</t>
        </r>
      </text>
    </comment>
    <comment ref="A19" authorId="0">
      <text>
        <r>
          <rPr>
            <b/>
            <sz val="8"/>
            <rFont val="Tahoma"/>
            <family val="0"/>
          </rPr>
          <t xml:space="preserve">Note:
</t>
        </r>
        <r>
          <rPr>
            <sz val="8"/>
            <rFont val="Tahoma"/>
            <family val="2"/>
          </rPr>
          <t>C</t>
        </r>
        <r>
          <rPr>
            <vertAlign val="subscript"/>
            <sz val="8"/>
            <rFont val="Tahoma"/>
            <family val="2"/>
          </rPr>
          <t>INF</t>
        </r>
        <r>
          <rPr>
            <sz val="8"/>
            <rFont val="Tahoma"/>
            <family val="2"/>
          </rPr>
          <t xml:space="preserve"> is used to bypass switching noise.  
The time constant of C</t>
        </r>
        <r>
          <rPr>
            <vertAlign val="subscript"/>
            <sz val="8"/>
            <rFont val="Tahoma"/>
            <family val="2"/>
          </rPr>
          <t>INF</t>
        </r>
        <r>
          <rPr>
            <sz val="8"/>
            <rFont val="Tahoma"/>
            <family val="2"/>
          </rPr>
          <t>, R</t>
        </r>
        <r>
          <rPr>
            <vertAlign val="subscript"/>
            <sz val="8"/>
            <rFont val="Tahoma"/>
            <family val="2"/>
          </rPr>
          <t>IN2</t>
        </r>
        <r>
          <rPr>
            <sz val="8"/>
            <rFont val="Tahoma"/>
            <family val="2"/>
          </rPr>
          <t xml:space="preserve"> and R</t>
        </r>
        <r>
          <rPr>
            <vertAlign val="subscript"/>
            <sz val="8"/>
            <rFont val="Tahoma"/>
            <family val="2"/>
          </rPr>
          <t>INHYST</t>
        </r>
        <r>
          <rPr>
            <sz val="8"/>
            <rFont val="Tahoma"/>
            <family val="2"/>
          </rPr>
          <t xml:space="preserve"> should be smaller than 5% of the AC line period.
The actual value of C</t>
        </r>
        <r>
          <rPr>
            <vertAlign val="subscript"/>
            <sz val="8"/>
            <rFont val="Tahoma"/>
            <family val="2"/>
          </rPr>
          <t>INF</t>
        </r>
        <r>
          <rPr>
            <sz val="8"/>
            <rFont val="Tahoma"/>
            <family val="2"/>
          </rPr>
          <t xml:space="preserve"> should be less than or equal to the value calculated.</t>
        </r>
      </text>
    </comment>
    <comment ref="A46" authorId="0">
      <text>
        <r>
          <rPr>
            <b/>
            <sz val="8"/>
            <rFont val="Tahoma"/>
            <family val="0"/>
          </rPr>
          <t>Note:</t>
        </r>
        <r>
          <rPr>
            <sz val="8"/>
            <rFont val="Tahoma"/>
            <family val="0"/>
          </rPr>
          <t xml:space="preserve">
It is recommended to place a low value resistor between the gate drive outputs and their corresponding power devices.
The gate drive resistors limit the current drawn from the VDD bypass capacitor during the turn-on of the power MOSFETs and attenuates potential oscillation in the gate drive circuits.</t>
        </r>
      </text>
    </comment>
    <comment ref="A30" authorId="0">
      <text>
        <r>
          <rPr>
            <b/>
            <sz val="8"/>
            <rFont val="Tahoma"/>
            <family val="0"/>
          </rPr>
          <t>Note:</t>
        </r>
        <r>
          <rPr>
            <sz val="8"/>
            <rFont val="Tahoma"/>
            <family val="0"/>
          </rPr>
          <t xml:space="preserve">
The current sensing resistors (R</t>
        </r>
        <r>
          <rPr>
            <vertAlign val="subscript"/>
            <sz val="8"/>
            <rFont val="Tahoma"/>
            <family val="2"/>
          </rPr>
          <t>CS1</t>
        </r>
        <r>
          <rPr>
            <sz val="8"/>
            <rFont val="Tahoma"/>
            <family val="0"/>
          </rPr>
          <t xml:space="preserve"> , R</t>
        </r>
        <r>
          <rPr>
            <vertAlign val="subscript"/>
            <sz val="8"/>
            <rFont val="Tahoma"/>
            <family val="2"/>
          </rPr>
          <t>CS2</t>
        </r>
        <r>
          <rPr>
            <sz val="8"/>
            <rFont val="Tahoma"/>
            <family val="0"/>
          </rPr>
          <t>) set the maximum power limit on each channel.</t>
        </r>
      </text>
    </comment>
    <comment ref="A33" authorId="0">
      <text>
        <r>
          <rPr>
            <b/>
            <sz val="8"/>
            <rFont val="Tahoma"/>
            <family val="0"/>
          </rPr>
          <t>Note:</t>
        </r>
        <r>
          <rPr>
            <sz val="8"/>
            <rFont val="Tahoma"/>
            <family val="0"/>
          </rPr>
          <t xml:space="preserve">
The value selected for the output capacitor must satisfy two conditions, output voltage ripple and holdup time.
The larger of the two calculated capacitor values is chosen to ensure proper operation. 
The actual capacitor should be equal to or larger than the value calculated here.</t>
        </r>
      </text>
    </comment>
    <comment ref="A25" authorId="0">
      <text>
        <r>
          <rPr>
            <b/>
            <sz val="8"/>
            <rFont val="Tahoma"/>
            <family val="0"/>
          </rPr>
          <t>Note:</t>
        </r>
        <r>
          <rPr>
            <sz val="8"/>
            <rFont val="Tahoma"/>
            <family val="0"/>
          </rPr>
          <t xml:space="preserve">
The boost inductor (L) value is determined by the output power and the minimum switching frequency.
The minimum switching frequency can occur at either the lowest or highest input line voltage.
Therefore, two inductor values are calculated and the lowest value is selected to ensure the minimum frequency is met.</t>
        </r>
      </text>
    </comment>
    <comment ref="C19" authorId="0">
      <text>
        <r>
          <rPr>
            <b/>
            <sz val="8"/>
            <rFont val="Tahoma"/>
            <family val="0"/>
          </rPr>
          <t>Note:</t>
        </r>
        <r>
          <rPr>
            <sz val="8"/>
            <rFont val="Tahoma"/>
            <family val="0"/>
          </rPr>
          <t xml:space="preserve">
This value is automatically updated based on the actual selected values of R</t>
        </r>
        <r>
          <rPr>
            <vertAlign val="subscript"/>
            <sz val="8"/>
            <rFont val="Tahoma"/>
            <family val="2"/>
          </rPr>
          <t>IN2</t>
        </r>
        <r>
          <rPr>
            <sz val="8"/>
            <rFont val="Tahoma"/>
            <family val="0"/>
          </rPr>
          <t xml:space="preserve"> and R</t>
        </r>
        <r>
          <rPr>
            <vertAlign val="subscript"/>
            <sz val="8"/>
            <rFont val="Tahoma"/>
            <family val="2"/>
          </rPr>
          <t>INHYST</t>
        </r>
        <r>
          <rPr>
            <sz val="8"/>
            <rFont val="Tahoma"/>
            <family val="0"/>
          </rPr>
          <t>.</t>
        </r>
      </text>
    </comment>
    <comment ref="C25" authorId="0">
      <text>
        <r>
          <rPr>
            <b/>
            <sz val="8"/>
            <rFont val="Tahoma"/>
            <family val="0"/>
          </rPr>
          <t>Note:</t>
        </r>
        <r>
          <rPr>
            <sz val="8"/>
            <rFont val="Tahoma"/>
            <family val="0"/>
          </rPr>
          <t xml:space="preserve">
This value is automatically updated based on the actual component values selected above.</t>
        </r>
      </text>
    </comment>
    <comment ref="C30" authorId="0">
      <text>
        <r>
          <rPr>
            <b/>
            <sz val="8"/>
            <rFont val="Tahoma"/>
            <family val="0"/>
          </rPr>
          <t>Note:</t>
        </r>
        <r>
          <rPr>
            <sz val="8"/>
            <rFont val="Tahoma"/>
            <family val="0"/>
          </rPr>
          <t xml:space="preserve">
This value is automatically updated based on the actual component values selected above.</t>
        </r>
      </text>
    </comment>
    <comment ref="C33" authorId="0">
      <text>
        <r>
          <rPr>
            <b/>
            <sz val="8"/>
            <rFont val="Tahoma"/>
            <family val="0"/>
          </rPr>
          <t>Note:</t>
        </r>
        <r>
          <rPr>
            <sz val="8"/>
            <rFont val="Tahoma"/>
            <family val="0"/>
          </rPr>
          <t xml:space="preserve">
This value is automatically updated based on the actual component values selected above.</t>
        </r>
      </text>
    </comment>
    <comment ref="C38" authorId="0">
      <text>
        <r>
          <rPr>
            <b/>
            <sz val="8"/>
            <rFont val="Tahoma"/>
            <family val="0"/>
          </rPr>
          <t>Note:</t>
        </r>
        <r>
          <rPr>
            <sz val="8"/>
            <rFont val="Tahoma"/>
            <family val="0"/>
          </rPr>
          <t xml:space="preserve">
This value is automatically updated based on the actual component values selected above.</t>
        </r>
      </text>
    </comment>
    <comment ref="C39" authorId="0">
      <text>
        <r>
          <rPr>
            <b/>
            <sz val="8"/>
            <rFont val="Tahoma"/>
            <family val="0"/>
          </rPr>
          <t>Note:</t>
        </r>
        <r>
          <rPr>
            <sz val="8"/>
            <rFont val="Tahoma"/>
            <family val="0"/>
          </rPr>
          <t xml:space="preserve">
This value is automatically updated based on the actual component values selected above.</t>
        </r>
      </text>
    </comment>
    <comment ref="C40" authorId="0">
      <text>
        <r>
          <rPr>
            <b/>
            <sz val="8"/>
            <rFont val="Tahoma"/>
            <family val="0"/>
          </rPr>
          <t>Note:</t>
        </r>
        <r>
          <rPr>
            <sz val="8"/>
            <rFont val="Tahoma"/>
            <family val="0"/>
          </rPr>
          <t xml:space="preserve">
This value is automatically updated based on the actual component values selected above.</t>
        </r>
      </text>
    </comment>
    <comment ref="C43" authorId="0">
      <text>
        <r>
          <rPr>
            <b/>
            <sz val="8"/>
            <rFont val="Tahoma"/>
            <family val="0"/>
          </rPr>
          <t>Note:</t>
        </r>
        <r>
          <rPr>
            <sz val="8"/>
            <rFont val="Tahoma"/>
            <family val="0"/>
          </rPr>
          <t xml:space="preserve">
This value is automatically updated based on the actual component values selected above.</t>
        </r>
      </text>
    </comment>
    <comment ref="C49" authorId="0">
      <text>
        <r>
          <rPr>
            <b/>
            <sz val="8"/>
            <rFont val="Tahoma"/>
            <family val="0"/>
          </rPr>
          <t>Note:</t>
        </r>
        <r>
          <rPr>
            <sz val="8"/>
            <rFont val="Tahoma"/>
            <family val="0"/>
          </rPr>
          <t xml:space="preserve">
This value is automatically updated based on the actual component values selected above.</t>
        </r>
      </text>
    </comment>
    <comment ref="C18" authorId="1">
      <text>
        <r>
          <rPr>
            <b/>
            <sz val="8"/>
            <rFont val="Tahoma"/>
            <family val="2"/>
          </rPr>
          <t>Note:</t>
        </r>
        <r>
          <rPr>
            <sz val="8"/>
            <rFont val="Tahoma"/>
            <family val="2"/>
          </rPr>
          <t xml:space="preserve">
This value is automatically updated based on the actual component values selected above.</t>
        </r>
      </text>
    </comment>
  </commentList>
</comments>
</file>

<file path=xl/comments6.xml><?xml version="1.0" encoding="utf-8"?>
<comments xmlns="http://schemas.openxmlformats.org/spreadsheetml/2006/main">
  <authors>
    <author>Note</author>
  </authors>
  <commentList>
    <comment ref="B32" authorId="0">
      <text>
        <r>
          <rPr>
            <b/>
            <sz val="8"/>
            <rFont val="Tahoma"/>
            <family val="0"/>
          </rPr>
          <t>Note:</t>
        </r>
        <r>
          <rPr>
            <sz val="8"/>
            <rFont val="Tahoma"/>
            <family val="0"/>
          </rPr>
          <t xml:space="preserve">
The voltage of the ZCD pins is clamped near zero.
The R</t>
        </r>
        <r>
          <rPr>
            <vertAlign val="subscript"/>
            <sz val="8"/>
            <rFont val="Tahoma"/>
            <family val="2"/>
          </rPr>
          <t>ZCD</t>
        </r>
        <r>
          <rPr>
            <sz val="8"/>
            <rFont val="Tahoma"/>
            <family val="0"/>
          </rPr>
          <t xml:space="preserve"> resistors limit the current of the ZCD pins below 1 mA.
</t>
        </r>
      </text>
    </comment>
    <comment ref="F31" authorId="0">
      <text>
        <r>
          <rPr>
            <b/>
            <sz val="8"/>
            <rFont val="Tahoma"/>
            <family val="0"/>
          </rPr>
          <t>Note:</t>
        </r>
        <r>
          <rPr>
            <sz val="8"/>
            <rFont val="Tahoma"/>
            <family val="0"/>
          </rPr>
          <t xml:space="preserve">
R</t>
        </r>
        <r>
          <rPr>
            <vertAlign val="subscript"/>
            <sz val="8"/>
            <rFont val="Tahoma"/>
            <family val="2"/>
          </rPr>
          <t>OV2</t>
        </r>
        <r>
          <rPr>
            <sz val="8"/>
            <rFont val="Tahoma"/>
            <family val="0"/>
          </rPr>
          <t xml:space="preserve"> is the lower resistor in the output over voltage sense divider.
The voltage divider should be designed such that 3.5 V on the feedback pin results in the desired output OVP voltage. </t>
        </r>
      </text>
    </comment>
    <comment ref="F32" authorId="0">
      <text>
        <r>
          <rPr>
            <b/>
            <sz val="8"/>
            <rFont val="Tahoma"/>
            <family val="0"/>
          </rPr>
          <t>Note:</t>
        </r>
        <r>
          <rPr>
            <sz val="8"/>
            <rFont val="Tahoma"/>
            <family val="0"/>
          </rPr>
          <t xml:space="preserve">
R</t>
        </r>
        <r>
          <rPr>
            <vertAlign val="subscript"/>
            <sz val="8"/>
            <rFont val="Tahoma"/>
            <family val="2"/>
          </rPr>
          <t>IN2</t>
        </r>
        <r>
          <rPr>
            <sz val="8"/>
            <rFont val="Tahoma"/>
            <family val="0"/>
          </rPr>
          <t xml:space="preserve"> is the upper portion of the input voltage sense divider.
This information is used for line UVLO, OVP and line feed-forward for PWM control.</t>
        </r>
      </text>
    </comment>
    <comment ref="B34" authorId="0">
      <text>
        <r>
          <rPr>
            <b/>
            <sz val="8"/>
            <rFont val="Tahoma"/>
            <family val="0"/>
          </rPr>
          <t>Note:</t>
        </r>
        <r>
          <rPr>
            <sz val="8"/>
            <rFont val="Tahoma"/>
            <family val="0"/>
          </rPr>
          <t xml:space="preserve">
The RMOT resistor sets the maximum on time for each gate drive signal.
This value should be in the range of 40 kΩ to 130 kΩ.  </t>
        </r>
      </text>
    </comment>
    <comment ref="F33" authorId="0">
      <text>
        <r>
          <rPr>
            <b/>
            <sz val="8"/>
            <rFont val="Tahoma"/>
            <family val="0"/>
          </rPr>
          <t>Note:</t>
        </r>
        <r>
          <rPr>
            <sz val="8"/>
            <rFont val="Tahoma"/>
            <family val="0"/>
          </rPr>
          <t xml:space="preserve">
R</t>
        </r>
        <r>
          <rPr>
            <vertAlign val="subscript"/>
            <sz val="8"/>
            <rFont val="Tahoma"/>
            <family val="2"/>
          </rPr>
          <t>IN2</t>
        </r>
        <r>
          <rPr>
            <sz val="8"/>
            <rFont val="Tahoma"/>
            <family val="0"/>
          </rPr>
          <t xml:space="preserve"> is the lower portion of the input voltage sense divider.
This information is used for line UVLO, OVP and line feed-forward for PWM control.</t>
        </r>
      </text>
    </comment>
    <comment ref="B35" authorId="0">
      <text>
        <r>
          <rPr>
            <b/>
            <sz val="8"/>
            <rFont val="Tahoma"/>
            <family val="0"/>
          </rPr>
          <t>Note:</t>
        </r>
        <r>
          <rPr>
            <sz val="8"/>
            <rFont val="Tahoma"/>
            <family val="0"/>
          </rPr>
          <t xml:space="preserve">
The soft-start capacitor (C</t>
        </r>
        <r>
          <rPr>
            <vertAlign val="subscript"/>
            <sz val="8"/>
            <rFont val="Tahoma"/>
            <family val="2"/>
          </rPr>
          <t>SS</t>
        </r>
        <r>
          <rPr>
            <sz val="8"/>
            <rFont val="Tahoma"/>
            <family val="0"/>
          </rPr>
          <t>) controls the soft-start time.
A larger capacitor will result in a longer soft-start time.</t>
        </r>
      </text>
    </comment>
    <comment ref="F34" authorId="0">
      <text>
        <r>
          <rPr>
            <b/>
            <sz val="8"/>
            <rFont val="Tahoma"/>
            <family val="0"/>
          </rPr>
          <t>Note:</t>
        </r>
        <r>
          <rPr>
            <sz val="8"/>
            <rFont val="Tahoma"/>
            <family val="0"/>
          </rPr>
          <t xml:space="preserve">
R</t>
        </r>
        <r>
          <rPr>
            <vertAlign val="subscript"/>
            <sz val="8"/>
            <rFont val="Tahoma"/>
            <family val="2"/>
          </rPr>
          <t>INHYST</t>
        </r>
        <r>
          <rPr>
            <sz val="8"/>
            <rFont val="Tahoma"/>
            <family val="0"/>
          </rPr>
          <t xml:space="preserve"> is used to add additional hysteresis to the UVLO hysteresis on the line voltage.  
A value of zero for R</t>
        </r>
        <r>
          <rPr>
            <vertAlign val="subscript"/>
            <sz val="8"/>
            <rFont val="Tahoma"/>
            <family val="2"/>
          </rPr>
          <t>INHYST</t>
        </r>
        <r>
          <rPr>
            <sz val="8"/>
            <rFont val="Tahoma"/>
            <family val="0"/>
          </rPr>
          <t xml:space="preserve"> will result in the minimum amount of hysteresis.</t>
        </r>
      </text>
    </comment>
    <comment ref="B36" authorId="0">
      <text>
        <r>
          <rPr>
            <b/>
            <sz val="8"/>
            <rFont val="Tahoma"/>
            <family val="0"/>
          </rPr>
          <t>Note:</t>
        </r>
        <r>
          <rPr>
            <sz val="8"/>
            <rFont val="Tahoma"/>
            <family val="0"/>
          </rPr>
          <t xml:space="preserve">
The crossover frequency determines the value of C</t>
        </r>
        <r>
          <rPr>
            <vertAlign val="subscript"/>
            <sz val="8"/>
            <rFont val="Tahoma"/>
            <family val="2"/>
          </rPr>
          <t>COMPLF</t>
        </r>
        <r>
          <rPr>
            <sz val="8"/>
            <rFont val="Tahoma"/>
            <family val="0"/>
          </rPr>
          <t>.
The actual value of C</t>
        </r>
        <r>
          <rPr>
            <vertAlign val="subscript"/>
            <sz val="8"/>
            <rFont val="Tahoma"/>
            <family val="2"/>
          </rPr>
          <t>COMPLF</t>
        </r>
        <r>
          <rPr>
            <sz val="8"/>
            <rFont val="Tahoma"/>
            <family val="0"/>
          </rPr>
          <t xml:space="preserve"> should be selected as close to the calculated value as possible.
The values of R</t>
        </r>
        <r>
          <rPr>
            <vertAlign val="subscript"/>
            <sz val="8"/>
            <rFont val="Tahoma"/>
            <family val="2"/>
          </rPr>
          <t>COMP</t>
        </r>
        <r>
          <rPr>
            <sz val="8"/>
            <rFont val="Tahoma"/>
            <family val="0"/>
          </rPr>
          <t xml:space="preserve"> and C</t>
        </r>
        <r>
          <rPr>
            <vertAlign val="subscript"/>
            <sz val="8"/>
            <rFont val="Tahoma"/>
            <family val="2"/>
          </rPr>
          <t>COMPHF</t>
        </r>
        <r>
          <rPr>
            <sz val="8"/>
            <rFont val="Tahoma"/>
            <family val="0"/>
          </rPr>
          <t xml:space="preserve"> may need to be recalculated if the actual value of C</t>
        </r>
        <r>
          <rPr>
            <vertAlign val="subscript"/>
            <sz val="8"/>
            <rFont val="Tahoma"/>
            <family val="2"/>
          </rPr>
          <t>COMPLF</t>
        </r>
        <r>
          <rPr>
            <sz val="8"/>
            <rFont val="Tahoma"/>
            <family val="0"/>
          </rPr>
          <t xml:space="preserve"> changes significantly.</t>
        </r>
      </text>
    </comment>
    <comment ref="F35" authorId="0">
      <text>
        <r>
          <rPr>
            <b/>
            <sz val="8"/>
            <rFont val="Tahoma"/>
            <family val="0"/>
          </rPr>
          <t xml:space="preserve">Note:
</t>
        </r>
        <r>
          <rPr>
            <sz val="8"/>
            <rFont val="Tahoma"/>
            <family val="2"/>
          </rPr>
          <t>C</t>
        </r>
        <r>
          <rPr>
            <vertAlign val="subscript"/>
            <sz val="8"/>
            <rFont val="Tahoma"/>
            <family val="2"/>
          </rPr>
          <t>INF</t>
        </r>
        <r>
          <rPr>
            <sz val="8"/>
            <rFont val="Tahoma"/>
            <family val="2"/>
          </rPr>
          <t xml:space="preserve"> is used to bypass switching noise.  
The time constant of C</t>
        </r>
        <r>
          <rPr>
            <vertAlign val="subscript"/>
            <sz val="8"/>
            <rFont val="Tahoma"/>
            <family val="2"/>
          </rPr>
          <t>INF</t>
        </r>
        <r>
          <rPr>
            <sz val="8"/>
            <rFont val="Tahoma"/>
            <family val="2"/>
          </rPr>
          <t>, R</t>
        </r>
        <r>
          <rPr>
            <vertAlign val="subscript"/>
            <sz val="8"/>
            <rFont val="Tahoma"/>
            <family val="2"/>
          </rPr>
          <t>IN2</t>
        </r>
        <r>
          <rPr>
            <sz val="8"/>
            <rFont val="Tahoma"/>
            <family val="2"/>
          </rPr>
          <t xml:space="preserve"> and R</t>
        </r>
        <r>
          <rPr>
            <vertAlign val="subscript"/>
            <sz val="8"/>
            <rFont val="Tahoma"/>
            <family val="2"/>
          </rPr>
          <t>INHYST</t>
        </r>
        <r>
          <rPr>
            <sz val="8"/>
            <rFont val="Tahoma"/>
            <family val="2"/>
          </rPr>
          <t xml:space="preserve"> should be smaller than 5% of the AC line period.
The actual value of C</t>
        </r>
        <r>
          <rPr>
            <vertAlign val="subscript"/>
            <sz val="8"/>
            <rFont val="Tahoma"/>
            <family val="2"/>
          </rPr>
          <t>INF</t>
        </r>
        <r>
          <rPr>
            <sz val="8"/>
            <rFont val="Tahoma"/>
            <family val="2"/>
          </rPr>
          <t xml:space="preserve"> should be less than or equal to the value calculated.</t>
        </r>
      </text>
    </comment>
    <comment ref="B37" authorId="0">
      <text>
        <r>
          <rPr>
            <b/>
            <sz val="8"/>
            <rFont val="Tahoma"/>
            <family val="0"/>
          </rPr>
          <t>Note:</t>
        </r>
        <r>
          <rPr>
            <sz val="8"/>
            <rFont val="Tahoma"/>
            <family val="0"/>
          </rPr>
          <t xml:space="preserve">
The R</t>
        </r>
        <r>
          <rPr>
            <vertAlign val="subscript"/>
            <sz val="8"/>
            <rFont val="Tahoma"/>
            <family val="2"/>
          </rPr>
          <t>COMP</t>
        </r>
        <r>
          <rPr>
            <sz val="8"/>
            <rFont val="Tahoma"/>
            <family val="0"/>
          </rPr>
          <t xml:space="preserve"> resistor determines the compensation zero and the high frequency pole with C</t>
        </r>
        <r>
          <rPr>
            <vertAlign val="subscript"/>
            <sz val="8"/>
            <rFont val="Tahoma"/>
            <family val="2"/>
          </rPr>
          <t>COMPLF</t>
        </r>
        <r>
          <rPr>
            <sz val="8"/>
            <rFont val="Tahoma"/>
            <family val="0"/>
          </rPr>
          <t xml:space="preserve"> and C</t>
        </r>
        <r>
          <rPr>
            <vertAlign val="subscript"/>
            <sz val="8"/>
            <rFont val="Tahoma"/>
            <family val="2"/>
          </rPr>
          <t>COMPHF</t>
        </r>
        <r>
          <rPr>
            <sz val="8"/>
            <rFont val="Tahoma"/>
            <family val="0"/>
          </rPr>
          <t>.
This value may need to be recalculated to optimize for the actual selection of C</t>
        </r>
        <r>
          <rPr>
            <vertAlign val="subscript"/>
            <sz val="8"/>
            <rFont val="Tahoma"/>
            <family val="2"/>
          </rPr>
          <t>COMPLF</t>
        </r>
        <r>
          <rPr>
            <sz val="8"/>
            <rFont val="Tahoma"/>
            <family val="2"/>
          </rPr>
          <t>.</t>
        </r>
      </text>
    </comment>
    <comment ref="F36" authorId="0">
      <text>
        <r>
          <rPr>
            <b/>
            <sz val="8"/>
            <rFont val="Tahoma"/>
            <family val="0"/>
          </rPr>
          <t>Note:</t>
        </r>
        <r>
          <rPr>
            <sz val="8"/>
            <rFont val="Tahoma"/>
            <family val="0"/>
          </rPr>
          <t xml:space="preserve">
It is recommended to place a low value resistor between the gate drive outputs and their corresponding power devices.
The gate drive resistors limit the current drawn from the VDD bypass capacitor during the turn-on of the power MOSFETs and attenuates potential oscillation in the gate drive circuits.</t>
        </r>
      </text>
    </comment>
    <comment ref="B38" authorId="0">
      <text>
        <r>
          <rPr>
            <b/>
            <sz val="8"/>
            <rFont val="Tahoma"/>
            <family val="0"/>
          </rPr>
          <t>Note:</t>
        </r>
        <r>
          <rPr>
            <sz val="8"/>
            <rFont val="Tahoma"/>
            <family val="0"/>
          </rPr>
          <t xml:space="preserve">
The C</t>
        </r>
        <r>
          <rPr>
            <vertAlign val="subscript"/>
            <sz val="8"/>
            <rFont val="Tahoma"/>
            <family val="2"/>
          </rPr>
          <t>COMPHF</t>
        </r>
        <r>
          <rPr>
            <sz val="8"/>
            <rFont val="Tahoma"/>
            <family val="0"/>
          </rPr>
          <t xml:space="preserve"> capacitor determines the feedback loop high frequency pole along with R</t>
        </r>
        <r>
          <rPr>
            <vertAlign val="subscript"/>
            <sz val="8"/>
            <rFont val="Tahoma"/>
            <family val="2"/>
          </rPr>
          <t>COMP</t>
        </r>
        <r>
          <rPr>
            <sz val="8"/>
            <rFont val="Tahoma"/>
            <family val="0"/>
          </rPr>
          <t>.</t>
        </r>
      </text>
    </comment>
    <comment ref="B39" authorId="0">
      <text>
        <r>
          <rPr>
            <b/>
            <sz val="8"/>
            <rFont val="Tahoma"/>
            <family val="0"/>
          </rPr>
          <t>Note:</t>
        </r>
        <r>
          <rPr>
            <sz val="8"/>
            <rFont val="Tahoma"/>
            <family val="0"/>
          </rPr>
          <t xml:space="preserve">
R</t>
        </r>
        <r>
          <rPr>
            <vertAlign val="subscript"/>
            <sz val="8"/>
            <rFont val="Tahoma"/>
            <family val="2"/>
          </rPr>
          <t>FB1</t>
        </r>
        <r>
          <rPr>
            <sz val="8"/>
            <rFont val="Tahoma"/>
            <family val="0"/>
          </rPr>
          <t xml:space="preserve"> is the upper resistor in the feedback divider.
To regulate the output voltage, the voltage divider should be designed to result in 3 V to the feedback pin.</t>
        </r>
      </text>
    </comment>
    <comment ref="B40" authorId="0">
      <text>
        <r>
          <rPr>
            <b/>
            <sz val="8"/>
            <rFont val="Tahoma"/>
            <family val="0"/>
          </rPr>
          <t>Note:</t>
        </r>
        <r>
          <rPr>
            <sz val="8"/>
            <rFont val="Tahoma"/>
            <family val="0"/>
          </rPr>
          <t xml:space="preserve">
R</t>
        </r>
        <r>
          <rPr>
            <vertAlign val="subscript"/>
            <sz val="8"/>
            <rFont val="Tahoma"/>
            <family val="2"/>
          </rPr>
          <t>FB2</t>
        </r>
        <r>
          <rPr>
            <sz val="8"/>
            <rFont val="Tahoma"/>
            <family val="0"/>
          </rPr>
          <t xml:space="preserve"> is the lower resistor in the feedback divider.
To regulate the output voltage, the voltage divider should be designed to result in 3 V to the feedback pin.</t>
        </r>
      </text>
    </comment>
    <comment ref="F39" authorId="0">
      <text>
        <r>
          <rPr>
            <b/>
            <sz val="8"/>
            <rFont val="Tahoma"/>
            <family val="0"/>
          </rPr>
          <t>Note:</t>
        </r>
        <r>
          <rPr>
            <sz val="8"/>
            <rFont val="Tahoma"/>
            <family val="0"/>
          </rPr>
          <t xml:space="preserve">
The current sensing resistors (R</t>
        </r>
        <r>
          <rPr>
            <vertAlign val="subscript"/>
            <sz val="8"/>
            <rFont val="Tahoma"/>
            <family val="2"/>
          </rPr>
          <t>CS1</t>
        </r>
        <r>
          <rPr>
            <sz val="8"/>
            <rFont val="Tahoma"/>
            <family val="0"/>
          </rPr>
          <t xml:space="preserve"> , R</t>
        </r>
        <r>
          <rPr>
            <vertAlign val="subscript"/>
            <sz val="8"/>
            <rFont val="Tahoma"/>
            <family val="2"/>
          </rPr>
          <t>CS2</t>
        </r>
        <r>
          <rPr>
            <sz val="8"/>
            <rFont val="Tahoma"/>
            <family val="0"/>
          </rPr>
          <t>) set the maximum power limit on each channel.</t>
        </r>
      </text>
    </comment>
    <comment ref="F30" authorId="0">
      <text>
        <r>
          <rPr>
            <b/>
            <sz val="8"/>
            <rFont val="Tahoma"/>
            <family val="0"/>
          </rPr>
          <t>Note:</t>
        </r>
        <r>
          <rPr>
            <sz val="8"/>
            <rFont val="Tahoma"/>
            <family val="0"/>
          </rPr>
          <t xml:space="preserve">
R</t>
        </r>
        <r>
          <rPr>
            <vertAlign val="subscript"/>
            <sz val="8"/>
            <rFont val="Tahoma"/>
            <family val="2"/>
          </rPr>
          <t>OV1</t>
        </r>
        <r>
          <rPr>
            <sz val="8"/>
            <rFont val="Tahoma"/>
            <family val="0"/>
          </rPr>
          <t xml:space="preserve"> is the upper resistor in the output over voltage sense divider.
The voltage divider should be designed such that 3.5 V on the feedback pin results in the desired output OVP voltage. </t>
        </r>
      </text>
    </comment>
    <comment ref="F40" authorId="0">
      <text>
        <r>
          <rPr>
            <b/>
            <sz val="8"/>
            <rFont val="Tahoma"/>
            <family val="0"/>
          </rPr>
          <t>Note:</t>
        </r>
        <r>
          <rPr>
            <sz val="8"/>
            <rFont val="Tahoma"/>
            <family val="0"/>
          </rPr>
          <t xml:space="preserve">
The size and type of current sense resistors depends on their power dissipation and manufacturing considerations.</t>
        </r>
      </text>
    </comment>
    <comment ref="B30" authorId="0">
      <text>
        <r>
          <rPr>
            <b/>
            <sz val="8"/>
            <rFont val="Tahoma"/>
            <family val="0"/>
          </rPr>
          <t xml:space="preserve">Note:
</t>
        </r>
        <r>
          <rPr>
            <sz val="8"/>
            <rFont val="Tahoma"/>
            <family val="2"/>
          </rPr>
          <t>The value selected for the output capacitor must satisfy two conditions, output voltage ripple and holdup time.
The larger of the two calculated capacitor values is chosen to ensure proper operation. 
The actual capacitor should be equal to or larger than the value calculated here.</t>
        </r>
      </text>
    </comment>
    <comment ref="B31" authorId="0">
      <text>
        <r>
          <rPr>
            <b/>
            <sz val="8"/>
            <rFont val="Tahoma"/>
            <family val="0"/>
          </rPr>
          <t>Note:</t>
        </r>
        <r>
          <rPr>
            <sz val="8"/>
            <rFont val="Tahoma"/>
            <family val="0"/>
          </rPr>
          <t xml:space="preserve">
The boost inductor (L) value is determined by the output power and the minimum switching frequency.
The minimum switching frequency can occur at either the lowest or highest input line voltage.
Therefore, two inductor values are calculated and the lowest value is selected to ensure the minimum frequency is met.</t>
        </r>
      </text>
    </comment>
  </commentList>
</comments>
</file>

<file path=xl/comments7.xml><?xml version="1.0" encoding="utf-8"?>
<comments xmlns="http://schemas.openxmlformats.org/spreadsheetml/2006/main">
  <authors>
    <author>Fairchild Semiconductor</author>
  </authors>
  <commentList>
    <comment ref="B6" authorId="0">
      <text>
        <r>
          <rPr>
            <b/>
            <sz val="8"/>
            <rFont val="Tahoma"/>
            <family val="2"/>
          </rPr>
          <t>Note:</t>
        </r>
        <r>
          <rPr>
            <sz val="8"/>
            <rFont val="Tahoma"/>
            <family val="2"/>
          </rPr>
          <t xml:space="preserve">
Please input the output current for closed-loop gain Bode Plot. The default value in this cell is the full load output current.</t>
        </r>
      </text>
    </comment>
  </commentList>
</comments>
</file>

<file path=xl/comments8.xml><?xml version="1.0" encoding="utf-8"?>
<comments xmlns="http://schemas.openxmlformats.org/spreadsheetml/2006/main">
  <authors>
    <author>Note</author>
    <author> </author>
  </authors>
  <commentList>
    <comment ref="B6" authorId="0">
      <text>
        <r>
          <rPr>
            <b/>
            <sz val="8"/>
            <rFont val="Tahoma"/>
            <family val="0"/>
          </rPr>
          <t>Note:</t>
        </r>
        <r>
          <rPr>
            <sz val="8"/>
            <rFont val="Tahoma"/>
            <family val="0"/>
          </rPr>
          <t xml:space="preserve">
Efficiency of magnetic component &lt;1</t>
        </r>
      </text>
    </comment>
    <comment ref="B8" authorId="0">
      <text>
        <r>
          <rPr>
            <b/>
            <sz val="8"/>
            <rFont val="Tahoma"/>
            <family val="0"/>
          </rPr>
          <t>Note:</t>
        </r>
        <r>
          <rPr>
            <sz val="8"/>
            <rFont val="Tahoma"/>
            <family val="0"/>
          </rPr>
          <t xml:space="preserve">
Window utilization factor&lt;=1, practical &lt; 0.5</t>
        </r>
      </text>
    </comment>
    <comment ref="B9" authorId="0">
      <text>
        <r>
          <rPr>
            <b/>
            <sz val="8"/>
            <rFont val="Tahoma"/>
            <family val="0"/>
          </rPr>
          <t>Note:</t>
        </r>
        <r>
          <rPr>
            <sz val="8"/>
            <rFont val="Tahoma"/>
            <family val="0"/>
          </rPr>
          <t xml:space="preserve">
Current density, 250&lt;CD&lt;550, (circular mil/amp)</t>
        </r>
      </text>
    </comment>
    <comment ref="B10" authorId="0">
      <text>
        <r>
          <rPr>
            <b/>
            <sz val="8"/>
            <rFont val="Tahoma"/>
            <family val="0"/>
          </rPr>
          <t>Note:</t>
        </r>
        <r>
          <rPr>
            <sz val="8"/>
            <rFont val="Tahoma"/>
            <family val="0"/>
          </rPr>
          <t xml:space="preserve">
Magnetization (1=single end, 2=double end)</t>
        </r>
      </text>
    </comment>
    <comment ref="B11" authorId="0">
      <text>
        <r>
          <rPr>
            <b/>
            <sz val="8"/>
            <rFont val="Tahoma"/>
            <family val="0"/>
          </rPr>
          <t>Note:</t>
        </r>
        <r>
          <rPr>
            <sz val="8"/>
            <rFont val="Tahoma"/>
            <family val="0"/>
          </rPr>
          <t xml:space="preserve">
Cooling factor (1=no cooling, 0.3=100 CFM)</t>
        </r>
      </text>
    </comment>
    <comment ref="B19" authorId="0">
      <text>
        <r>
          <rPr>
            <b/>
            <sz val="8"/>
            <rFont val="Tahoma"/>
            <family val="0"/>
          </rPr>
          <t>Note:</t>
        </r>
        <r>
          <rPr>
            <sz val="8"/>
            <rFont val="Tahoma"/>
            <family val="0"/>
          </rPr>
          <t xml:space="preserve">
Chosen core for this design. Multiple Ae (effective cross section area) by Aw (window area) to determine Area Product for a core of interest</t>
        </r>
      </text>
    </comment>
    <comment ref="B20" authorId="0">
      <text>
        <r>
          <rPr>
            <b/>
            <sz val="8"/>
            <rFont val="Tahoma"/>
            <family val="0"/>
          </rPr>
          <t>Note:</t>
        </r>
        <r>
          <rPr>
            <sz val="8"/>
            <rFont val="Tahoma"/>
            <family val="0"/>
          </rPr>
          <t xml:space="preserve">
Enter cross section for chosen core</t>
        </r>
      </text>
    </comment>
    <comment ref="B26" authorId="0">
      <text>
        <r>
          <rPr>
            <b/>
            <sz val="8"/>
            <rFont val="Tahoma"/>
            <family val="0"/>
          </rPr>
          <t>Note:</t>
        </r>
        <r>
          <rPr>
            <sz val="8"/>
            <rFont val="Tahoma"/>
            <family val="0"/>
          </rPr>
          <t xml:space="preserve">
Required circular mils based on input current density. Check CM in AWG table shown to determine equivalent wire gauge.</t>
        </r>
      </text>
    </comment>
    <comment ref="B27" authorId="0">
      <text>
        <r>
          <rPr>
            <b/>
            <sz val="8"/>
            <rFont val="Tahoma"/>
            <family val="0"/>
          </rPr>
          <t>Note:</t>
        </r>
        <r>
          <rPr>
            <sz val="8"/>
            <rFont val="Tahoma"/>
            <family val="0"/>
          </rPr>
          <t xml:space="preserve">
Skin depth (max current penetration radius)</t>
        </r>
      </text>
    </comment>
    <comment ref="F25" authorId="1">
      <text>
        <r>
          <rPr>
            <b/>
            <sz val="8"/>
            <rFont val="Tahoma"/>
            <family val="2"/>
          </rPr>
          <t>Note:</t>
        </r>
        <r>
          <rPr>
            <sz val="8"/>
            <rFont val="Tahoma"/>
            <family val="2"/>
          </rPr>
          <t xml:space="preserve">
Wire type is selected based upon required circular mils (current density) and skin depth.</t>
        </r>
      </text>
    </comment>
    <comment ref="F26" authorId="1">
      <text>
        <r>
          <rPr>
            <b/>
            <sz val="8"/>
            <rFont val="Tahoma"/>
            <family val="2"/>
          </rPr>
          <t>Note:</t>
        </r>
        <r>
          <rPr>
            <sz val="8"/>
            <rFont val="Tahoma"/>
            <family val="2"/>
          </rPr>
          <t xml:space="preserve">
ZCD turns calculation. Winding only carries 1mA, no litz required, use AWG#32. No effect on efficiency. If possible, apply this winding away from air gap.</t>
        </r>
      </text>
    </comment>
    <comment ref="B30" authorId="0">
      <text>
        <r>
          <rPr>
            <b/>
            <sz val="8"/>
            <rFont val="Tahoma"/>
            <family val="0"/>
          </rPr>
          <t>Note:</t>
        </r>
        <r>
          <rPr>
            <sz val="8"/>
            <rFont val="Tahoma"/>
            <family val="0"/>
          </rPr>
          <t xml:space="preserve">
40x#38 litz = 16.21W/1000 ft, or 53.1824 mW/m</t>
        </r>
      </text>
    </comment>
    <comment ref="B32" authorId="0">
      <text>
        <r>
          <rPr>
            <b/>
            <sz val="8"/>
            <rFont val="Tahoma"/>
            <family val="0"/>
          </rPr>
          <t>Note:</t>
        </r>
        <r>
          <rPr>
            <sz val="8"/>
            <rFont val="Tahoma"/>
            <family val="0"/>
          </rPr>
          <t xml:space="preserve">
Multiply by 2 to account for flattening of litz as it is wound across bobbin breadth</t>
        </r>
      </text>
    </comment>
    <comment ref="F31" authorId="0">
      <text>
        <r>
          <rPr>
            <b/>
            <sz val="8"/>
            <rFont val="Tahoma"/>
            <family val="0"/>
          </rPr>
          <t>Note:</t>
        </r>
        <r>
          <rPr>
            <sz val="8"/>
            <rFont val="Tahoma"/>
            <family val="0"/>
          </rPr>
          <t xml:space="preserve">
2 layers of insulating tape applied between every layer of adjacent copper and outside copper layer. This can be modified but has been found to minimize winding capacitance.</t>
        </r>
      </text>
    </comment>
    <comment ref="F32" authorId="0">
      <text>
        <r>
          <rPr>
            <b/>
            <sz val="8"/>
            <rFont val="Tahoma"/>
            <family val="0"/>
          </rPr>
          <t>Note:</t>
        </r>
        <r>
          <rPr>
            <sz val="8"/>
            <rFont val="Tahoma"/>
            <family val="0"/>
          </rPr>
          <t xml:space="preserve">
Divide by 2 to account for flattening of litz as it is stacked across adjacent layers</t>
        </r>
      </text>
    </comment>
    <comment ref="F34" authorId="0">
      <text>
        <r>
          <rPr>
            <b/>
            <sz val="8"/>
            <rFont val="Tahoma"/>
            <family val="0"/>
          </rPr>
          <t>Note:</t>
        </r>
        <r>
          <rPr>
            <sz val="8"/>
            <rFont val="Tahoma"/>
            <family val="0"/>
          </rPr>
          <t xml:space="preserve">
Verify estimated total Bobbin_Area is less than available window area, WA, from bobbin data sheet. If Bobbin_Area is larger than allowable bobbin area, iterate design again.  </t>
        </r>
      </text>
    </comment>
    <comment ref="F36" authorId="1">
      <text>
        <r>
          <rPr>
            <b/>
            <sz val="8"/>
            <rFont val="Tahoma"/>
            <family val="2"/>
          </rPr>
          <t>Note:</t>
        </r>
        <r>
          <rPr>
            <sz val="8"/>
            <rFont val="Tahoma"/>
            <family val="2"/>
          </rPr>
          <t xml:space="preserve">
AC copper and core losses are difficult to predict due to the variable switching frequency and how much power is processed verses switching frequency variation. For example at the peak of the AC line where the current and voltage are maximum, the frequency is minimum. Conversely, near the zero crossing of the AC line voltage, the frequency is maximum but the amount of power processed is nearly zero. Therefore, AC losses are neglected for the purpose of designing the inductors. Following these guidelines outlined for core and litz wire selection will result in an inductor operating at very high efficiency.</t>
        </r>
      </text>
    </comment>
  </commentList>
</comments>
</file>

<file path=xl/sharedStrings.xml><?xml version="1.0" encoding="utf-8"?>
<sst xmlns="http://schemas.openxmlformats.org/spreadsheetml/2006/main" count="483" uniqueCount="308">
  <si>
    <t>Min. AC RMS Input (turn-on)</t>
  </si>
  <si>
    <t>Min. Line Frequency</t>
  </si>
  <si>
    <t>Nominal DC Output</t>
  </si>
  <si>
    <t>Latching Output OVP</t>
  </si>
  <si>
    <t>Desired Hold Up Time</t>
  </si>
  <si>
    <t>Min. Switching Frequency</t>
  </si>
  <si>
    <t>Max. DC Bias (for FAN9612)</t>
  </si>
  <si>
    <t>From Power Supply Specification:</t>
  </si>
  <si>
    <r>
      <t>V</t>
    </r>
    <r>
      <rPr>
        <vertAlign val="subscript"/>
        <sz val="8"/>
        <color indexed="8"/>
        <rFont val="Verdana"/>
        <family val="2"/>
      </rPr>
      <t>LINE.ON</t>
    </r>
  </si>
  <si>
    <r>
      <t>V</t>
    </r>
    <r>
      <rPr>
        <vertAlign val="subscript"/>
        <sz val="8"/>
        <color indexed="8"/>
        <rFont val="Verdana"/>
        <family val="2"/>
      </rPr>
      <t>LINE.OFF</t>
    </r>
  </si>
  <si>
    <r>
      <t>V</t>
    </r>
    <r>
      <rPr>
        <vertAlign val="subscript"/>
        <sz val="8"/>
        <color indexed="8"/>
        <rFont val="Verdana"/>
        <family val="2"/>
      </rPr>
      <t>LINE.MAX</t>
    </r>
  </si>
  <si>
    <r>
      <t>f</t>
    </r>
    <r>
      <rPr>
        <vertAlign val="subscript"/>
        <sz val="8"/>
        <color indexed="8"/>
        <rFont val="Verdana"/>
        <family val="2"/>
      </rPr>
      <t>LINE,MIN</t>
    </r>
  </si>
  <si>
    <r>
      <t>V</t>
    </r>
    <r>
      <rPr>
        <vertAlign val="subscript"/>
        <sz val="8"/>
        <color indexed="8"/>
        <rFont val="Verdana"/>
        <family val="2"/>
      </rPr>
      <t>OUT</t>
    </r>
  </si>
  <si>
    <r>
      <t xml:space="preserve">Output Voltage Ripple (2 </t>
    </r>
    <r>
      <rPr>
        <b/>
        <sz val="8"/>
        <rFont val="Verdana"/>
        <family val="2"/>
      </rPr>
      <t xml:space="preserve">· </t>
    </r>
    <r>
      <rPr>
        <sz val="8"/>
        <rFont val="Verdana"/>
        <family val="2"/>
      </rPr>
      <t>f</t>
    </r>
    <r>
      <rPr>
        <vertAlign val="subscript"/>
        <sz val="8"/>
        <rFont val="Verdana"/>
        <family val="2"/>
      </rPr>
      <t>LINE</t>
    </r>
    <r>
      <rPr>
        <sz val="8"/>
        <rFont val="Verdana"/>
        <family val="2"/>
      </rPr>
      <t>)</t>
    </r>
  </si>
  <si>
    <r>
      <t>V</t>
    </r>
    <r>
      <rPr>
        <vertAlign val="subscript"/>
        <sz val="8"/>
        <color indexed="8"/>
        <rFont val="Verdana"/>
        <family val="2"/>
      </rPr>
      <t>OUT,RIPPLE</t>
    </r>
  </si>
  <si>
    <r>
      <t>V</t>
    </r>
    <r>
      <rPr>
        <vertAlign val="subscript"/>
        <sz val="8"/>
        <color indexed="8"/>
        <rFont val="Verdana"/>
        <family val="2"/>
      </rPr>
      <t>OUT,LATCH</t>
    </r>
  </si>
  <si>
    <r>
      <t>P</t>
    </r>
    <r>
      <rPr>
        <vertAlign val="subscript"/>
        <sz val="8"/>
        <color indexed="8"/>
        <rFont val="Verdana"/>
        <family val="2"/>
      </rPr>
      <t>OUT</t>
    </r>
  </si>
  <si>
    <r>
      <t>t</t>
    </r>
    <r>
      <rPr>
        <vertAlign val="subscript"/>
        <sz val="8"/>
        <color indexed="8"/>
        <rFont val="Verdana"/>
        <family val="2"/>
      </rPr>
      <t>HOLD</t>
    </r>
  </si>
  <si>
    <r>
      <t>Min. DC Output (end of t</t>
    </r>
    <r>
      <rPr>
        <vertAlign val="subscript"/>
        <sz val="8"/>
        <color indexed="8"/>
        <rFont val="Verdana"/>
        <family val="2"/>
      </rPr>
      <t>HOLD</t>
    </r>
    <r>
      <rPr>
        <sz val="8"/>
        <color indexed="8"/>
        <rFont val="Verdana"/>
        <family val="2"/>
      </rPr>
      <t>)</t>
    </r>
  </si>
  <si>
    <r>
      <t>V</t>
    </r>
    <r>
      <rPr>
        <vertAlign val="subscript"/>
        <sz val="8"/>
        <color indexed="8"/>
        <rFont val="Verdana"/>
        <family val="2"/>
      </rPr>
      <t>OUT,MIN</t>
    </r>
  </si>
  <si>
    <r>
      <t>f</t>
    </r>
    <r>
      <rPr>
        <vertAlign val="subscript"/>
        <sz val="8"/>
        <color indexed="8"/>
        <rFont val="Verdana"/>
        <family val="2"/>
      </rPr>
      <t>SW,MIN</t>
    </r>
  </si>
  <si>
    <t>Estimated Conversion Efficiency</t>
  </si>
  <si>
    <t>η</t>
  </si>
  <si>
    <t>Max. Output Power per Channel</t>
  </si>
  <si>
    <t>Output Capacitance</t>
  </si>
  <si>
    <t>Boost Inductance per Channel</t>
  </si>
  <si>
    <t>L</t>
  </si>
  <si>
    <t>Max. On-Time per Channel</t>
  </si>
  <si>
    <t>N</t>
  </si>
  <si>
    <r>
      <t>P</t>
    </r>
    <r>
      <rPr>
        <vertAlign val="subscript"/>
        <sz val="8"/>
        <color indexed="8"/>
        <rFont val="Verdana"/>
        <family val="2"/>
      </rPr>
      <t>MAX,CH</t>
    </r>
  </si>
  <si>
    <r>
      <t>C</t>
    </r>
    <r>
      <rPr>
        <vertAlign val="subscript"/>
        <sz val="8"/>
        <color indexed="8"/>
        <rFont val="Verdana"/>
        <family val="2"/>
      </rPr>
      <t>OUT</t>
    </r>
  </si>
  <si>
    <r>
      <t>t</t>
    </r>
    <r>
      <rPr>
        <vertAlign val="subscript"/>
        <sz val="8"/>
        <color indexed="8"/>
        <rFont val="Verdana"/>
        <family val="2"/>
      </rPr>
      <t>ON,MAX</t>
    </r>
  </si>
  <si>
    <r>
      <t>Turns Ratio (N</t>
    </r>
    <r>
      <rPr>
        <vertAlign val="subscript"/>
        <sz val="8"/>
        <color indexed="8"/>
        <rFont val="Verdana"/>
        <family val="2"/>
      </rPr>
      <t>BOOST</t>
    </r>
    <r>
      <rPr>
        <sz val="8"/>
        <color indexed="8"/>
        <rFont val="Verdana"/>
        <family val="2"/>
      </rPr>
      <t xml:space="preserve"> / N</t>
    </r>
    <r>
      <rPr>
        <vertAlign val="subscript"/>
        <sz val="8"/>
        <color indexed="8"/>
        <rFont val="Verdana"/>
        <family val="2"/>
      </rPr>
      <t>AUX</t>
    </r>
    <r>
      <rPr>
        <sz val="8"/>
        <color indexed="8"/>
        <rFont val="Verdana"/>
        <family val="2"/>
      </rPr>
      <t>)</t>
    </r>
  </si>
  <si>
    <t>Peak Inductor Current</t>
  </si>
  <si>
    <t>Max. DC Output Current (to load)</t>
  </si>
  <si>
    <r>
      <t>I</t>
    </r>
    <r>
      <rPr>
        <vertAlign val="subscript"/>
        <sz val="8"/>
        <color indexed="8"/>
        <rFont val="Verdana"/>
        <family val="2"/>
      </rPr>
      <t>L,PK</t>
    </r>
  </si>
  <si>
    <r>
      <t>I</t>
    </r>
    <r>
      <rPr>
        <vertAlign val="subscript"/>
        <sz val="8"/>
        <color indexed="8"/>
        <rFont val="Verdana"/>
        <family val="2"/>
      </rPr>
      <t>O,MAX</t>
    </r>
  </si>
  <si>
    <t>Calculated Component Values:</t>
  </si>
  <si>
    <t>Zero Current Detect Resistor</t>
  </si>
  <si>
    <t>Bypass Capacitor for 5V Bias</t>
  </si>
  <si>
    <t>Maximum On-time Set</t>
  </si>
  <si>
    <t>Soft-Start Capacitor</t>
  </si>
  <si>
    <t>Compensation Capacitor</t>
  </si>
  <si>
    <t>Compensation Resistor</t>
  </si>
  <si>
    <t>Feedback Divider</t>
  </si>
  <si>
    <t>Over Voltage Sense Divider</t>
  </si>
  <si>
    <t>Input Voltage Sense Divider</t>
  </si>
  <si>
    <t>Brown-Out Hysteresis Set</t>
  </si>
  <si>
    <t>Gate Drive Resistor</t>
  </si>
  <si>
    <t>Bypass Capacitor for VDD - HF</t>
  </si>
  <si>
    <t>Startup Energy Storage for VDD</t>
  </si>
  <si>
    <t>Current Sense Resistor</t>
  </si>
  <si>
    <r>
      <t>R</t>
    </r>
    <r>
      <rPr>
        <vertAlign val="subscript"/>
        <sz val="8"/>
        <color indexed="8"/>
        <rFont val="Verdana"/>
        <family val="2"/>
      </rPr>
      <t>ZCD1</t>
    </r>
    <r>
      <rPr>
        <sz val="8"/>
        <color indexed="8"/>
        <rFont val="Verdana"/>
        <family val="2"/>
      </rPr>
      <t>, R</t>
    </r>
    <r>
      <rPr>
        <vertAlign val="subscript"/>
        <sz val="8"/>
        <color indexed="8"/>
        <rFont val="Verdana"/>
        <family val="2"/>
      </rPr>
      <t>ZCD2</t>
    </r>
  </si>
  <si>
    <r>
      <t>C</t>
    </r>
    <r>
      <rPr>
        <vertAlign val="subscript"/>
        <sz val="8"/>
        <color indexed="8"/>
        <rFont val="Verdana"/>
        <family val="2"/>
      </rPr>
      <t>5VB</t>
    </r>
  </si>
  <si>
    <r>
      <t>R</t>
    </r>
    <r>
      <rPr>
        <vertAlign val="subscript"/>
        <sz val="8"/>
        <color indexed="8"/>
        <rFont val="Verdana"/>
        <family val="2"/>
      </rPr>
      <t>MOT</t>
    </r>
  </si>
  <si>
    <r>
      <t>C</t>
    </r>
    <r>
      <rPr>
        <vertAlign val="subscript"/>
        <sz val="8"/>
        <color indexed="8"/>
        <rFont val="Verdana"/>
        <family val="2"/>
      </rPr>
      <t>SS</t>
    </r>
  </si>
  <si>
    <r>
      <t>C</t>
    </r>
    <r>
      <rPr>
        <vertAlign val="subscript"/>
        <sz val="8"/>
        <color indexed="8"/>
        <rFont val="Verdana"/>
        <family val="2"/>
      </rPr>
      <t>COMP,LF</t>
    </r>
  </si>
  <si>
    <r>
      <t>R</t>
    </r>
    <r>
      <rPr>
        <vertAlign val="subscript"/>
        <sz val="8"/>
        <color indexed="8"/>
        <rFont val="Verdana"/>
        <family val="2"/>
      </rPr>
      <t>COMP</t>
    </r>
  </si>
  <si>
    <r>
      <t>C</t>
    </r>
    <r>
      <rPr>
        <vertAlign val="subscript"/>
        <sz val="8"/>
        <color indexed="8"/>
        <rFont val="Verdana"/>
        <family val="2"/>
      </rPr>
      <t>COMP,HF</t>
    </r>
  </si>
  <si>
    <r>
      <t>R</t>
    </r>
    <r>
      <rPr>
        <vertAlign val="subscript"/>
        <sz val="8"/>
        <color indexed="8"/>
        <rFont val="Verdana"/>
        <family val="2"/>
      </rPr>
      <t>FB1</t>
    </r>
  </si>
  <si>
    <r>
      <t>R</t>
    </r>
    <r>
      <rPr>
        <vertAlign val="subscript"/>
        <sz val="8"/>
        <color indexed="8"/>
        <rFont val="Verdana"/>
        <family val="2"/>
      </rPr>
      <t>FB2</t>
    </r>
  </si>
  <si>
    <r>
      <t>R</t>
    </r>
    <r>
      <rPr>
        <vertAlign val="subscript"/>
        <sz val="8"/>
        <color indexed="8"/>
        <rFont val="Verdana"/>
        <family val="2"/>
      </rPr>
      <t>OV1</t>
    </r>
  </si>
  <si>
    <r>
      <t>R</t>
    </r>
    <r>
      <rPr>
        <vertAlign val="subscript"/>
        <sz val="8"/>
        <color indexed="8"/>
        <rFont val="Verdana"/>
        <family val="2"/>
      </rPr>
      <t>OV2</t>
    </r>
  </si>
  <si>
    <r>
      <t>R</t>
    </r>
    <r>
      <rPr>
        <vertAlign val="subscript"/>
        <sz val="8"/>
        <color indexed="8"/>
        <rFont val="Verdana"/>
        <family val="2"/>
      </rPr>
      <t>IN1</t>
    </r>
  </si>
  <si>
    <r>
      <t>R</t>
    </r>
    <r>
      <rPr>
        <vertAlign val="subscript"/>
        <sz val="8"/>
        <color indexed="8"/>
        <rFont val="Verdana"/>
        <family val="2"/>
      </rPr>
      <t>IN2</t>
    </r>
  </si>
  <si>
    <r>
      <t>R</t>
    </r>
    <r>
      <rPr>
        <vertAlign val="subscript"/>
        <sz val="8"/>
        <color indexed="8"/>
        <rFont val="Verdana"/>
        <family val="2"/>
      </rPr>
      <t>INHYST</t>
    </r>
  </si>
  <si>
    <r>
      <t>R</t>
    </r>
    <r>
      <rPr>
        <vertAlign val="subscript"/>
        <sz val="8"/>
        <color indexed="8"/>
        <rFont val="Verdana"/>
        <family val="2"/>
      </rPr>
      <t>G1</t>
    </r>
    <r>
      <rPr>
        <sz val="8"/>
        <color indexed="8"/>
        <rFont val="Verdana"/>
        <family val="2"/>
      </rPr>
      <t>, R</t>
    </r>
    <r>
      <rPr>
        <vertAlign val="subscript"/>
        <sz val="8"/>
        <color indexed="8"/>
        <rFont val="Verdana"/>
        <family val="2"/>
      </rPr>
      <t>G2</t>
    </r>
  </si>
  <si>
    <r>
      <t>C</t>
    </r>
    <r>
      <rPr>
        <vertAlign val="subscript"/>
        <sz val="8"/>
        <color indexed="8"/>
        <rFont val="Verdana"/>
        <family val="2"/>
      </rPr>
      <t>VDD1</t>
    </r>
  </si>
  <si>
    <r>
      <t>C</t>
    </r>
    <r>
      <rPr>
        <vertAlign val="subscript"/>
        <sz val="8"/>
        <color indexed="8"/>
        <rFont val="Verdana"/>
        <family val="2"/>
      </rPr>
      <t>VDD2</t>
    </r>
  </si>
  <si>
    <r>
      <t>R</t>
    </r>
    <r>
      <rPr>
        <vertAlign val="subscript"/>
        <sz val="8"/>
        <color indexed="8"/>
        <rFont val="Verdana"/>
        <family val="2"/>
      </rPr>
      <t>CS1</t>
    </r>
    <r>
      <rPr>
        <sz val="8"/>
        <color indexed="8"/>
        <rFont val="Verdana"/>
        <family val="2"/>
      </rPr>
      <t>, R</t>
    </r>
    <r>
      <rPr>
        <vertAlign val="subscript"/>
        <sz val="8"/>
        <color indexed="8"/>
        <rFont val="Verdana"/>
        <family val="2"/>
      </rPr>
      <t>CS2</t>
    </r>
  </si>
  <si>
    <t>Feedback Pole Frequency</t>
  </si>
  <si>
    <t>Current Sense Resistor Power</t>
  </si>
  <si>
    <t>Feedback Power Dissipation</t>
  </si>
  <si>
    <r>
      <t>f</t>
    </r>
    <r>
      <rPr>
        <vertAlign val="subscript"/>
        <sz val="8"/>
        <rFont val="Verdana"/>
        <family val="2"/>
      </rPr>
      <t>HFP</t>
    </r>
  </si>
  <si>
    <r>
      <t>P</t>
    </r>
    <r>
      <rPr>
        <vertAlign val="subscript"/>
        <sz val="8"/>
        <rFont val="Verdana"/>
        <family val="2"/>
      </rPr>
      <t>FB</t>
    </r>
  </si>
  <si>
    <r>
      <t>P</t>
    </r>
    <r>
      <rPr>
        <vertAlign val="subscript"/>
        <sz val="8"/>
        <rFont val="Verdana"/>
        <family val="2"/>
      </rPr>
      <t>OVP</t>
    </r>
  </si>
  <si>
    <r>
      <t>V</t>
    </r>
    <r>
      <rPr>
        <vertAlign val="subscript"/>
        <sz val="8"/>
        <rFont val="Verdana"/>
        <family val="2"/>
      </rPr>
      <t>IN</t>
    </r>
    <r>
      <rPr>
        <sz val="8"/>
        <rFont val="Verdana"/>
        <family val="2"/>
      </rPr>
      <t xml:space="preserve"> Sense Power Dissipation</t>
    </r>
  </si>
  <si>
    <r>
      <t>P</t>
    </r>
    <r>
      <rPr>
        <vertAlign val="subscript"/>
        <sz val="8"/>
        <rFont val="Verdana"/>
        <family val="2"/>
      </rPr>
      <t>INSNS</t>
    </r>
  </si>
  <si>
    <t>OVP Network Power Dissipation</t>
  </si>
  <si>
    <t>Min. AC RMS Input (turn-off)</t>
  </si>
  <si>
    <t>www.fairchildsemi.com</t>
  </si>
  <si>
    <r>
      <t>P</t>
    </r>
    <r>
      <rPr>
        <vertAlign val="subscript"/>
        <sz val="8"/>
        <rFont val="Verdana"/>
        <family val="2"/>
      </rPr>
      <t xml:space="preserve">RCS1, </t>
    </r>
    <r>
      <rPr>
        <sz val="8"/>
        <rFont val="Verdana"/>
        <family val="2"/>
      </rPr>
      <t>P</t>
    </r>
    <r>
      <rPr>
        <vertAlign val="subscript"/>
        <sz val="8"/>
        <rFont val="Verdana"/>
        <family val="2"/>
      </rPr>
      <t>RCS2</t>
    </r>
  </si>
  <si>
    <t>Max. AC RMS Input</t>
  </si>
  <si>
    <r>
      <t>C</t>
    </r>
    <r>
      <rPr>
        <vertAlign val="subscript"/>
        <sz val="8"/>
        <color indexed="8"/>
        <rFont val="Verdana"/>
        <family val="2"/>
      </rPr>
      <t>INF</t>
    </r>
  </si>
  <si>
    <t>Input Voltage Sense Filter Capacitor</t>
  </si>
  <si>
    <r>
      <t>f</t>
    </r>
    <r>
      <rPr>
        <vertAlign val="subscript"/>
        <sz val="10"/>
        <rFont val="Verdana"/>
        <family val="2"/>
      </rPr>
      <t>c</t>
    </r>
  </si>
  <si>
    <t>Voltage Loop Crossover Frequency</t>
  </si>
  <si>
    <r>
      <t>K</t>
    </r>
    <r>
      <rPr>
        <vertAlign val="subscript"/>
        <sz val="8"/>
        <rFont val="Verdana"/>
        <family val="2"/>
      </rPr>
      <t>MAX</t>
    </r>
  </si>
  <si>
    <r>
      <t>V</t>
    </r>
    <r>
      <rPr>
        <vertAlign val="subscript"/>
        <sz val="8"/>
        <color indexed="8"/>
        <rFont val="Verdana"/>
        <family val="2"/>
      </rPr>
      <t>DDMAX</t>
    </r>
  </si>
  <si>
    <t>Revision</t>
  </si>
  <si>
    <t>Date</t>
  </si>
  <si>
    <t>Component</t>
  </si>
  <si>
    <r>
      <t>V</t>
    </r>
    <r>
      <rPr>
        <vertAlign val="subscript"/>
        <sz val="8"/>
        <rFont val="Verdana"/>
        <family val="2"/>
      </rPr>
      <t>OUT</t>
    </r>
  </si>
  <si>
    <r>
      <t>V</t>
    </r>
    <r>
      <rPr>
        <vertAlign val="subscript"/>
        <sz val="8"/>
        <rFont val="Verdana"/>
        <family val="2"/>
      </rPr>
      <t>OUTLATCH</t>
    </r>
  </si>
  <si>
    <r>
      <t>P</t>
    </r>
    <r>
      <rPr>
        <vertAlign val="subscript"/>
        <sz val="8"/>
        <rFont val="Verdana"/>
        <family val="2"/>
      </rPr>
      <t>OVNOM</t>
    </r>
  </si>
  <si>
    <r>
      <t>V</t>
    </r>
    <r>
      <rPr>
        <vertAlign val="subscript"/>
        <sz val="8"/>
        <rFont val="Verdana"/>
        <family val="2"/>
      </rPr>
      <t>LINEOFF</t>
    </r>
  </si>
  <si>
    <r>
      <t>V</t>
    </r>
    <r>
      <rPr>
        <vertAlign val="subscript"/>
        <sz val="8"/>
        <rFont val="Verdana"/>
        <family val="2"/>
      </rPr>
      <t>LINEON</t>
    </r>
  </si>
  <si>
    <r>
      <t>P</t>
    </r>
    <r>
      <rPr>
        <vertAlign val="subscript"/>
        <sz val="8"/>
        <rFont val="Verdana"/>
        <family val="2"/>
      </rPr>
      <t>INSNSMAXLINE</t>
    </r>
  </si>
  <si>
    <r>
      <t>t</t>
    </r>
    <r>
      <rPr>
        <vertAlign val="subscript"/>
        <sz val="8"/>
        <rFont val="Verdana"/>
        <family val="2"/>
      </rPr>
      <t>ONMAX</t>
    </r>
  </si>
  <si>
    <r>
      <t>P</t>
    </r>
    <r>
      <rPr>
        <vertAlign val="subscript"/>
        <sz val="8"/>
        <rFont val="Verdana"/>
        <family val="2"/>
      </rPr>
      <t>MAXCH</t>
    </r>
  </si>
  <si>
    <r>
      <t>f</t>
    </r>
    <r>
      <rPr>
        <vertAlign val="subscript"/>
        <sz val="8"/>
        <rFont val="Verdana"/>
        <family val="2"/>
      </rPr>
      <t>SWMIN</t>
    </r>
  </si>
  <si>
    <r>
      <t>I</t>
    </r>
    <r>
      <rPr>
        <vertAlign val="subscript"/>
        <sz val="8"/>
        <rFont val="Verdana"/>
        <family val="2"/>
      </rPr>
      <t>LPK</t>
    </r>
  </si>
  <si>
    <r>
      <t>I</t>
    </r>
    <r>
      <rPr>
        <vertAlign val="subscript"/>
        <sz val="8"/>
        <rFont val="Verdana"/>
        <family val="2"/>
      </rPr>
      <t>OPK</t>
    </r>
  </si>
  <si>
    <r>
      <t>V</t>
    </r>
    <r>
      <rPr>
        <vertAlign val="subscript"/>
        <sz val="8"/>
        <rFont val="Verdana"/>
        <family val="2"/>
      </rPr>
      <t>OUTRIPPLE</t>
    </r>
  </si>
  <si>
    <r>
      <t>t</t>
    </r>
    <r>
      <rPr>
        <vertAlign val="subscript"/>
        <sz val="8"/>
        <rFont val="Verdana"/>
        <family val="2"/>
      </rPr>
      <t>HOLD</t>
    </r>
  </si>
  <si>
    <r>
      <t>V</t>
    </r>
    <r>
      <rPr>
        <vertAlign val="subscript"/>
        <sz val="8"/>
        <rFont val="Verdana"/>
        <family val="2"/>
      </rPr>
      <t>OUTMIN</t>
    </r>
  </si>
  <si>
    <r>
      <t>f</t>
    </r>
    <r>
      <rPr>
        <vertAlign val="subscript"/>
        <sz val="8"/>
        <rFont val="Verdana"/>
        <family val="2"/>
      </rPr>
      <t>c</t>
    </r>
  </si>
  <si>
    <r>
      <t>I</t>
    </r>
    <r>
      <rPr>
        <vertAlign val="subscript"/>
        <sz val="8"/>
        <rFont val="Verdana"/>
        <family val="2"/>
      </rPr>
      <t>GD</t>
    </r>
  </si>
  <si>
    <r>
      <t>I</t>
    </r>
    <r>
      <rPr>
        <vertAlign val="subscript"/>
        <sz val="8"/>
        <rFont val="Verdana"/>
        <family val="2"/>
      </rPr>
      <t>ZCD</t>
    </r>
  </si>
  <si>
    <t>Selection</t>
  </si>
  <si>
    <t>Calculated</t>
  </si>
  <si>
    <t>Parameter</t>
  </si>
  <si>
    <t>Actual Value</t>
  </si>
  <si>
    <t>Input Value</t>
  </si>
  <si>
    <t>Cap Values (pF)</t>
  </si>
  <si>
    <t>Ideal R</t>
  </si>
  <si>
    <t>Low R</t>
  </si>
  <si>
    <t>High R</t>
  </si>
  <si>
    <t>1% Resistor Formula</t>
  </si>
  <si>
    <t>Selected Component Values:</t>
  </si>
  <si>
    <t>Note: 
Cells that have white text on a red background indicate that there is an error and the component value cannot be displayed.</t>
  </si>
  <si>
    <t>Power Supply Over design</t>
  </si>
  <si>
    <r>
      <t>Soft Start dV</t>
    </r>
    <r>
      <rPr>
        <vertAlign val="subscript"/>
        <sz val="8"/>
        <color indexed="8"/>
        <rFont val="Verdana"/>
        <family val="2"/>
      </rPr>
      <t>OUT</t>
    </r>
    <r>
      <rPr>
        <sz val="8"/>
        <color indexed="8"/>
        <rFont val="Verdana"/>
        <family val="2"/>
      </rPr>
      <t>/dt</t>
    </r>
  </si>
  <si>
    <r>
      <t>dV</t>
    </r>
    <r>
      <rPr>
        <vertAlign val="subscript"/>
        <sz val="8"/>
        <color indexed="8"/>
        <rFont val="Verdana"/>
        <family val="2"/>
      </rPr>
      <t>OUT</t>
    </r>
    <r>
      <rPr>
        <sz val="8"/>
        <color indexed="8"/>
        <rFont val="Verdana"/>
        <family val="2"/>
      </rPr>
      <t>/dt</t>
    </r>
  </si>
  <si>
    <t>1 - Select the feedback components</t>
  </si>
  <si>
    <t>2 - Select the latching output OVP components</t>
  </si>
  <si>
    <t>3 - Select the input sense components</t>
  </si>
  <si>
    <t>4 - Select the maximum on time resistor</t>
  </si>
  <si>
    <t>5 - Select the boost inductors</t>
  </si>
  <si>
    <t>6 - Select the current sense resistors</t>
  </si>
  <si>
    <t>7 - Select the output capacitance</t>
  </si>
  <si>
    <t>8 - Select the compensation network components</t>
  </si>
  <si>
    <t>9 - Select the soft start capacitor</t>
  </si>
  <si>
    <t>10 - Select the gate drive resistors</t>
  </si>
  <si>
    <t>11 - Select the zero current detect resistors</t>
  </si>
  <si>
    <r>
      <t>dV</t>
    </r>
    <r>
      <rPr>
        <vertAlign val="subscript"/>
        <sz val="8"/>
        <rFont val="Verdana"/>
        <family val="2"/>
      </rPr>
      <t>OUT</t>
    </r>
    <r>
      <rPr>
        <sz val="8"/>
        <rFont val="Verdana"/>
        <family val="2"/>
      </rPr>
      <t>/dt</t>
    </r>
  </si>
  <si>
    <t>Step 1: Enter power supply parameters and calculate ideal component values.</t>
  </si>
  <si>
    <t>DISCLAIMER:</t>
  </si>
  <si>
    <t>FAIRCHILD SEMICONDUCTOR RESERVES THE RIGHT TO MAKE CHANGES WITHOUT FURTHER NOTICE TO ANY PRODUCTS HEREIN TO IMPROVE RELIABILITY, FUNCTION, OR DESIGN.  FAIRCHILD DOES NOT ASSUME ANY LIABILITY ARISING OUT OF THE APPLICATION OR USE OF ANY PRODUCT, CIRCUIT OR TOOL DESCRIBED HEREIN; NEITHER DOES IT CONVEY ANY LICENSE UNDER ITS PATENT RIGHTS, NOR THE RIGHTS OF OTHERS.</t>
  </si>
  <si>
    <t>Step 2: Select real component values based on the ideal component values calculated in Step 1 and verify the real power supply performance specifications.</t>
  </si>
  <si>
    <t xml:space="preserve">This sheet provides a schematic and an overview of the components selected through Steps 1 and 2.  
Ensure that both steps have been completed properly before using the component values displayed below.  </t>
  </si>
  <si>
    <t>Other Variables Used During the Calculations:</t>
  </si>
  <si>
    <r>
      <t>f</t>
    </r>
    <r>
      <rPr>
        <vertAlign val="subscript"/>
        <sz val="8"/>
        <rFont val="Verdana"/>
        <family val="2"/>
      </rPr>
      <t>cINF</t>
    </r>
  </si>
  <si>
    <t xml:space="preserve">Note: 
Cells that have white text on a red background indicate that there is an error.  Certain parts of the circuit will not operate properly if these items are not addressed.  Cells with red text indicate that the parameter values calculated differ greatly from the desired value.  </t>
  </si>
  <si>
    <r>
      <t>This sheet calculates the ideal component values based on the power supply specifications that are entered.
■ Enter the specifications in the '</t>
    </r>
    <r>
      <rPr>
        <b/>
        <sz val="8"/>
        <rFont val="Verdana"/>
        <family val="2"/>
      </rPr>
      <t>From Power Supply Specification</t>
    </r>
    <r>
      <rPr>
        <sz val="8"/>
        <rFont val="Verdana"/>
        <family val="2"/>
      </rPr>
      <t>' section.  
■ The '</t>
    </r>
    <r>
      <rPr>
        <b/>
        <sz val="8"/>
        <rFont val="Verdana"/>
        <family val="2"/>
      </rPr>
      <t>Pre-calculated Power Stage Parameters</t>
    </r>
    <r>
      <rPr>
        <sz val="8"/>
        <rFont val="Verdana"/>
        <family val="2"/>
      </rPr>
      <t>' section allows the user to adjust the estimated conversion efficiency and the turns ratio of the boost inductor to auxiliary winding.  This section also displays the power stage components and parameters that result from the specification, and will be used to calculate the remaining component values.  
■ The '</t>
    </r>
    <r>
      <rPr>
        <b/>
        <sz val="8"/>
        <rFont val="Verdana"/>
        <family val="2"/>
      </rPr>
      <t>Calculated Component Values</t>
    </r>
    <r>
      <rPr>
        <sz val="8"/>
        <rFont val="Verdana"/>
        <family val="2"/>
      </rPr>
      <t>' section displays the remaining ideal component values that result from the entered power supply specification.  These values will be used as a guide in selecting the real component values.</t>
    </r>
  </si>
  <si>
    <r>
      <t>This sheet calculates the actual parameter values that result from the selected components.  Ensure that all parameters were entered properly in the Step 1 worksheet before working on this step. 
■ Enter the component values into the column named '</t>
    </r>
    <r>
      <rPr>
        <b/>
        <sz val="8"/>
        <rFont val="Verdana"/>
        <family val="2"/>
      </rPr>
      <t>Selection</t>
    </r>
    <r>
      <rPr>
        <sz val="8"/>
        <rFont val="Verdana"/>
        <family val="2"/>
      </rPr>
      <t>'.  
■ Calculated component values from the parameters entered in Step 1 and Step 2 appear in the '</t>
    </r>
    <r>
      <rPr>
        <b/>
        <sz val="8"/>
        <rFont val="Verdana"/>
        <family val="2"/>
      </rPr>
      <t>Calculated</t>
    </r>
    <r>
      <rPr>
        <sz val="8"/>
        <rFont val="Verdana"/>
        <family val="2"/>
      </rPr>
      <t>' column.  
These values provide a recommended component value to obtain the input parameters desired.  
■ The '</t>
    </r>
    <r>
      <rPr>
        <b/>
        <sz val="8"/>
        <rFont val="Verdana"/>
        <family val="2"/>
      </rPr>
      <t>Actual Value</t>
    </r>
    <r>
      <rPr>
        <sz val="8"/>
        <rFont val="Verdana"/>
        <family val="2"/>
      </rPr>
      <t>' column provides the parameter values that result from the components selected in the 'Selection' column. 
■ For reference and comparison, the '</t>
    </r>
    <r>
      <rPr>
        <b/>
        <sz val="8"/>
        <rFont val="Verdana"/>
        <family val="2"/>
      </rPr>
      <t>Input Value</t>
    </r>
    <r>
      <rPr>
        <sz val="8"/>
        <rFont val="Verdana"/>
        <family val="2"/>
      </rPr>
      <t>' column displays the parameters that were selected in the Step 1 worksheet.</t>
    </r>
  </si>
  <si>
    <t>Final Step: Review the final component values.</t>
  </si>
  <si>
    <t>Note: No macros or code was used in the Design Tool in an effort to provide simple, efficient and safe tools.</t>
  </si>
  <si>
    <t>L1, L2</t>
  </si>
  <si>
    <t>Output Capacitance (total)</t>
  </si>
  <si>
    <t>Boost Inductance (per channel)</t>
  </si>
  <si>
    <r>
      <t>V</t>
    </r>
    <r>
      <rPr>
        <vertAlign val="subscript"/>
        <sz val="8"/>
        <color indexed="8"/>
        <rFont val="Verdana"/>
        <family val="2"/>
      </rPr>
      <t>LINE.Norminal</t>
    </r>
  </si>
  <si>
    <t>Nominal AC RMS Input</t>
  </si>
  <si>
    <t xml:space="preserve"> </t>
  </si>
  <si>
    <r>
      <t>P</t>
    </r>
    <r>
      <rPr>
        <vertAlign val="subscript"/>
        <sz val="8"/>
        <color indexed="8"/>
        <rFont val="Verdana"/>
        <family val="2"/>
      </rPr>
      <t>OUT,CH</t>
    </r>
  </si>
  <si>
    <t>Output Power per Channel</t>
  </si>
  <si>
    <t>Line OVP Voltage</t>
  </si>
  <si>
    <r>
      <t>V</t>
    </r>
    <r>
      <rPr>
        <sz val="5"/>
        <rFont val="Verdana"/>
        <family val="2"/>
      </rPr>
      <t>LINE,OVP</t>
    </r>
  </si>
  <si>
    <r>
      <t>V</t>
    </r>
    <r>
      <rPr>
        <sz val="6"/>
        <rFont val="Verdana"/>
        <family val="2"/>
      </rPr>
      <t>line,Hyst</t>
    </r>
  </si>
  <si>
    <t>Pre-Calculated Parameters:</t>
  </si>
  <si>
    <t>Min. Allowable Brown-Out Hysteresis</t>
  </si>
  <si>
    <t>Note: 
Cells that have white text on a red background indicate that there is an error.  Certain parts of the circuit will not operate properly if these items are not addressed.</t>
  </si>
  <si>
    <t>This sheet provides colsed-loop gain Bode Plot based on components being calculated in step 1 and 2.</t>
  </si>
  <si>
    <t>f (Hz)</t>
  </si>
  <si>
    <t>s (rad/sec)</t>
  </si>
  <si>
    <t>fp</t>
  </si>
  <si>
    <t>F2(s)</t>
  </si>
  <si>
    <t>Fv(s)</t>
  </si>
  <si>
    <t>T2(s)</t>
  </si>
  <si>
    <t>Hz</t>
  </si>
  <si>
    <t>Fcz</t>
  </si>
  <si>
    <t>fcp</t>
  </si>
  <si>
    <t>F2_Num</t>
  </si>
  <si>
    <t>F2_Dem</t>
  </si>
  <si>
    <t>f1a</t>
  </si>
  <si>
    <t>Fv_Co</t>
  </si>
  <si>
    <t>Fv_fcp</t>
  </si>
  <si>
    <t>Fv_fcz</t>
  </si>
  <si>
    <t>IT2(s)I (dB)</t>
  </si>
  <si>
    <t>P(T2(s)) (deg)</t>
  </si>
  <si>
    <t>Final Step: Review the loop transmission Bode Plot.</t>
  </si>
  <si>
    <t>BW Filter</t>
  </si>
  <si>
    <t>Phase Filter</t>
  </si>
  <si>
    <t>Min_GL</t>
  </si>
  <si>
    <t>ABSIT2(s)I (dB)</t>
  </si>
  <si>
    <t>deg</t>
  </si>
  <si>
    <t>BW</t>
  </si>
  <si>
    <t>PM</t>
  </si>
  <si>
    <t xml:space="preserve">Note: 
This spreadsheet uses complex number, so Analysis ToolPak installation is required. </t>
  </si>
  <si>
    <t>Crossover Frequency</t>
  </si>
  <si>
    <t>Phase Margin</t>
  </si>
  <si>
    <t xml:space="preserve"> Hz</t>
  </si>
  <si>
    <t xml:space="preserve"> deg</t>
  </si>
  <si>
    <t xml:space="preserve"> A</t>
  </si>
  <si>
    <t>Project</t>
  </si>
  <si>
    <t>Designer</t>
  </si>
  <si>
    <t>DC Output Current</t>
  </si>
  <si>
    <t>Io_dcp</t>
  </si>
  <si>
    <t>A</t>
  </si>
  <si>
    <t>For Designer Use Only</t>
  </si>
  <si>
    <t>Full Load Output Power</t>
  </si>
  <si>
    <t>© 2010 Fairchild Semiconductor Corporation.  All rights reserved.</t>
  </si>
  <si>
    <t>FCS ©</t>
  </si>
  <si>
    <t>Efficiency of magnetic component (&lt;1)</t>
  </si>
  <si>
    <t>eff_m</t>
  </si>
  <si>
    <t>Max AC flux swing (Gauss)</t>
  </si>
  <si>
    <t>dB</t>
  </si>
  <si>
    <t>WF</t>
  </si>
  <si>
    <t>Window utilization factor</t>
  </si>
  <si>
    <t>CD</t>
  </si>
  <si>
    <t>Current density (circular mil/amp)</t>
  </si>
  <si>
    <t>UF</t>
  </si>
  <si>
    <t>Magnetization</t>
  </si>
  <si>
    <t>Cooling factor</t>
  </si>
  <si>
    <t>FK</t>
  </si>
  <si>
    <t>Total PFC Output Power</t>
  </si>
  <si>
    <t>Po</t>
  </si>
  <si>
    <t>Per Phase Output Power</t>
  </si>
  <si>
    <t>Po_ch</t>
  </si>
  <si>
    <t>Estimated efficiency of boost converter</t>
  </si>
  <si>
    <t>eff_pfc</t>
  </si>
  <si>
    <t>PFC regulated output voltage</t>
  </si>
  <si>
    <t>Vout_pfc</t>
  </si>
  <si>
    <t>AC input voltage where min operating frequency occurs</t>
  </si>
  <si>
    <t>V_Line_minf</t>
  </si>
  <si>
    <t>Minimum AC input voltage</t>
  </si>
  <si>
    <t>V_Line_min</t>
  </si>
  <si>
    <t>Minimum desired operating frequency</t>
  </si>
  <si>
    <t>Fs_min</t>
  </si>
  <si>
    <t>zcd voltage</t>
  </si>
  <si>
    <t>V_zcd</t>
  </si>
  <si>
    <t>unit</t>
  </si>
  <si>
    <t>Units and Constants Definition</t>
  </si>
  <si>
    <t>uo</t>
  </si>
  <si>
    <t>nH</t>
  </si>
  <si>
    <t xml:space="preserve">      Design Parameters:</t>
  </si>
  <si>
    <t>AeAb</t>
  </si>
  <si>
    <t>Area Product method for estimating required core size (cm2*cm2)</t>
  </si>
  <si>
    <t>EDFD30</t>
  </si>
  <si>
    <t>Area Product of selected core (cm2*cm2)</t>
  </si>
  <si>
    <t>Enter cross section for chosen core</t>
  </si>
  <si>
    <t>Ae_core</t>
  </si>
  <si>
    <t>MLT</t>
  </si>
  <si>
    <t>Minimum winding width</t>
  </si>
  <si>
    <t>WW</t>
  </si>
  <si>
    <t>Winding area</t>
  </si>
  <si>
    <t>WA</t>
  </si>
  <si>
    <t xml:space="preserve">      Core and Inductor Calculation:</t>
  </si>
  <si>
    <t>IL_pk</t>
  </si>
  <si>
    <t>Peak inductor current</t>
  </si>
  <si>
    <t>Required PFC inductor value</t>
  </si>
  <si>
    <t>L_pfc</t>
  </si>
  <si>
    <t>Number of required inductor turns</t>
  </si>
  <si>
    <t>A_L</t>
  </si>
  <si>
    <t>N_boost</t>
  </si>
  <si>
    <t>Required inductance factor</t>
  </si>
  <si>
    <t>Estimated required air gap length</t>
  </si>
  <si>
    <t>I_gap</t>
  </si>
  <si>
    <t>Approx. max frequency for BCM PFC</t>
  </si>
  <si>
    <t>Fs_max</t>
  </si>
  <si>
    <t xml:space="preserve">      Wire Calculations:</t>
  </si>
  <si>
    <t>Maximum per channel RMS inductor current</t>
  </si>
  <si>
    <t>I_in</t>
  </si>
  <si>
    <t>Required circular mils based on input current density</t>
  </si>
  <si>
    <t>CM</t>
  </si>
  <si>
    <t xml:space="preserve">      AWG Table</t>
  </si>
  <si>
    <t>Skin depth</t>
  </si>
  <si>
    <t>dn</t>
  </si>
  <si>
    <t>Need AWG with diameter less than this full AC penetration</t>
  </si>
  <si>
    <t>AWG_f</t>
  </si>
  <si>
    <t>ZCD winding calculation</t>
  </si>
  <si>
    <t>Mean length per turn</t>
  </si>
  <si>
    <t>ZCD turns calculaiton</t>
  </si>
  <si>
    <t>N_zcd</t>
  </si>
  <si>
    <t>Nzcd</t>
  </si>
  <si>
    <t>Res_litz</t>
  </si>
  <si>
    <r>
      <t>Data taken from MWS Industries litz wire tables for 30x#38 litz (</t>
    </r>
    <r>
      <rPr>
        <sz val="8"/>
        <color indexed="8"/>
        <rFont val="Calibri"/>
        <family val="2"/>
      </rPr>
      <t>Ω</t>
    </r>
    <r>
      <rPr>
        <sz val="8"/>
        <color indexed="8"/>
        <rFont val="Verdana"/>
        <family val="2"/>
      </rPr>
      <t>/m)</t>
    </r>
  </si>
  <si>
    <t>Enter mean outer diameter of chosen litz bundle</t>
  </si>
  <si>
    <t>litz_mean_OD</t>
  </si>
  <si>
    <t>litz_OD_wound</t>
  </si>
  <si>
    <t>Estimated turns per layer</t>
  </si>
  <si>
    <t>Turns_layer</t>
  </si>
  <si>
    <t>Estimated number of layers</t>
  </si>
  <si>
    <t>N_cu_layers</t>
  </si>
  <si>
    <t>Enter tape thickness</t>
  </si>
  <si>
    <t>tape_thick</t>
  </si>
  <si>
    <t>N_tape_layers</t>
  </si>
  <si>
    <t>Cu_Area</t>
  </si>
  <si>
    <t>Total bobbin area taken by copper</t>
  </si>
  <si>
    <t>Total bobbin area taken by insulating tape</t>
  </si>
  <si>
    <t>tape_Area</t>
  </si>
  <si>
    <t>Bobbin_Area</t>
  </si>
  <si>
    <t>Bobbin area</t>
  </si>
  <si>
    <t xml:space="preserve">      Winding Structure Calculations:</t>
  </si>
  <si>
    <t xml:space="preserve">      DC Copper Loss Calculations:</t>
  </si>
  <si>
    <t>Rdc</t>
  </si>
  <si>
    <t>Power loss (per inductor) due to DC resistance</t>
  </si>
  <si>
    <t>P_Rdc</t>
  </si>
  <si>
    <t>Copper DC resistance</t>
  </si>
  <si>
    <t xml:space="preserve">            FAN9611_12 Boost Converter Design Tool</t>
  </si>
  <si>
    <t xml:space="preserve">          FAN9611_12 Boost Converter (Ideal Values)</t>
  </si>
  <si>
    <t xml:space="preserve">             FAN9611_12 Boost Converter (Actual Values)</t>
  </si>
  <si>
    <t xml:space="preserve">              FAN9611_12 Boost Converter (Final Components)</t>
  </si>
  <si>
    <t xml:space="preserve">      FAN9611_12 Boost Converter</t>
  </si>
  <si>
    <t xml:space="preserve">           FAN9611_12 Boost Converter Inductor Design</t>
  </si>
  <si>
    <t xml:space="preserve">              FAN9611_12 Loop Gain Bode Plot</t>
  </si>
  <si>
    <t>The following worksheet shows an interleaved Boost BCM PFC inductor design. The design rules shown are fundamental to the interleaved BCM PFC Boost topology and can therefore easily be applied to higher power levels. This worksheet is intended to accompany the Fairchild FAN9611_12 Excel Design Tool.</t>
  </si>
  <si>
    <r>
      <t xml:space="preserve">This design tool is used for a PFC pre-regulated boost converter design using the FAN9611_12 Interleaved Dual BCM PFC Controller. It complements the Quick Setup Guide procedure in the FAN9611_12 datasheet and the design procedure described in AN-8086 the application note for FAN9611_12. This tool is meant to be used with both documents.
The FAN9611_12 Design Tool consists of three steps. Each step is contained in a separate worksheet that can be accessed from the tabs at the bottom.  
</t>
    </r>
    <r>
      <rPr>
        <b/>
        <sz val="8"/>
        <rFont val="Verdana"/>
        <family val="2"/>
      </rPr>
      <t>Step 1:</t>
    </r>
    <r>
      <rPr>
        <sz val="8"/>
        <rFont val="Verdana"/>
        <family val="2"/>
      </rPr>
      <t xml:space="preserve"> Enter their desired power supply performance specifications.  The worksheet then calculates the ideal component values based on the input specifications.  
</t>
    </r>
    <r>
      <rPr>
        <b/>
        <sz val="8"/>
        <rFont val="Verdana"/>
        <family val="2"/>
      </rPr>
      <t>Step 2:</t>
    </r>
    <r>
      <rPr>
        <sz val="8"/>
        <rFont val="Verdana"/>
        <family val="2"/>
      </rPr>
      <t xml:space="preserve"> Select real component values based on the ideal component values calculated in Step 1. The worksheet then calculates the real power supply performance specifications. 
</t>
    </r>
    <r>
      <rPr>
        <b/>
        <sz val="8"/>
        <rFont val="Verdana"/>
        <family val="2"/>
      </rPr>
      <t>Final Step:</t>
    </r>
    <r>
      <rPr>
        <sz val="8"/>
        <rFont val="Verdana"/>
        <family val="2"/>
      </rPr>
      <t xml:space="preserve"> The third and final step provides an overview of the schematic and components selected. A loop gain Bode Plot is shown as well to conclude the design.</t>
    </r>
  </si>
</sst>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m\s"/>
    <numFmt numFmtId="165" formatCode="0\ \W"/>
    <numFmt numFmtId="166" formatCode="0\ \Ω"/>
    <numFmt numFmtId="167" formatCode="0.000\ \µ\F"/>
    <numFmt numFmtId="168" formatCode="0.0\ \µ\F"/>
    <numFmt numFmtId="169" formatCode="0\ \µ\F"/>
    <numFmt numFmtId="170" formatCode="0.000\ \Ω"/>
    <numFmt numFmtId="171" formatCode="0.0000\ \Ω"/>
    <numFmt numFmtId="172" formatCode="0.000\ \W"/>
    <numFmt numFmtId="173" formatCode="0.00\ \Ω"/>
    <numFmt numFmtId="174" formatCode="0.000\ \µ\H"/>
    <numFmt numFmtId="175" formatCode="0\ \n\F"/>
    <numFmt numFmtId="176" formatCode="0\ \V"/>
    <numFmt numFmtId="177" formatCode="0.000\ \µ\s"/>
    <numFmt numFmtId="178" formatCode="0\ \µ\H"/>
    <numFmt numFmtId="179" formatCode="0.000\ \A"/>
    <numFmt numFmtId="180" formatCode="0.000"/>
    <numFmt numFmtId="181" formatCode="0\ \H\z"/>
    <numFmt numFmtId="182" formatCode="0.00\ \m\s"/>
    <numFmt numFmtId="183" formatCode="0.0\ \n\F"/>
    <numFmt numFmtId="184" formatCode="0.00\ \V"/>
    <numFmt numFmtId="185" formatCode="0.0\ \H\z"/>
    <numFmt numFmtId="186" formatCode="mm/dd/yyyy"/>
    <numFmt numFmtId="187" formatCode="0.000\ \V"/>
    <numFmt numFmtId="188" formatCode="0.000\ \m\A"/>
    <numFmt numFmtId="189" formatCode="0.0\ \V"/>
    <numFmt numFmtId="190" formatCode="0.00\ \A"/>
    <numFmt numFmtId="191" formatCode="0.0\ \k\Ω"/>
    <numFmt numFmtId="192" formatCode="0\ \k\Ω"/>
    <numFmt numFmtId="193" formatCode="0.000\ \V/\m\s"/>
    <numFmt numFmtId="194" formatCode="0\ \k\H\z"/>
    <numFmt numFmtId="195" formatCode="0.0\ \k\H\z"/>
    <numFmt numFmtId="196" formatCode="0.00\ \k\Ω"/>
    <numFmt numFmtId="197" formatCode="0.0"/>
    <numFmt numFmtId="198" formatCode="0.0\ \d"/>
    <numFmt numFmtId="199" formatCode="[$-409]mmmm\ d\,\ yyyy;@"/>
    <numFmt numFmtId="200" formatCode="0\ \G"/>
    <numFmt numFmtId="201" formatCode="0.0E+00"/>
    <numFmt numFmtId="202" formatCode="0.0\ \m\m"/>
    <numFmt numFmtId="203" formatCode="0.0\ \m\m\2"/>
    <numFmt numFmtId="204" formatCode="0.000\ \c\m\4"/>
    <numFmt numFmtId="205" formatCode="0.0000\ \µ\H"/>
    <numFmt numFmtId="206" formatCode="0.000\ \m\m"/>
    <numFmt numFmtId="207" formatCode="0.00\ \m\m"/>
    <numFmt numFmtId="208" formatCode="0.0000\ \Ω\m"/>
    <numFmt numFmtId="209" formatCode="0.00000\ \Ω\m"/>
    <numFmt numFmtId="210" formatCode="0.000E+00"/>
    <numFmt numFmtId="211" formatCode="0.0000E+00"/>
    <numFmt numFmtId="212" formatCode="0.0000\ \m\m"/>
    <numFmt numFmtId="213" formatCode="0.000\ \m\m\2"/>
    <numFmt numFmtId="214" formatCode="0.00\ \m\m\2"/>
  </numFmts>
  <fonts count="71">
    <font>
      <sz val="10"/>
      <name val="Arial"/>
      <family val="0"/>
    </font>
    <font>
      <sz val="8"/>
      <name val="Arial"/>
      <family val="0"/>
    </font>
    <font>
      <sz val="8"/>
      <name val="Verdana"/>
      <family val="2"/>
    </font>
    <font>
      <sz val="8"/>
      <color indexed="8"/>
      <name val="Verdana"/>
      <family val="2"/>
    </font>
    <font>
      <vertAlign val="subscript"/>
      <sz val="8"/>
      <color indexed="8"/>
      <name val="Verdana"/>
      <family val="2"/>
    </font>
    <font>
      <b/>
      <sz val="8"/>
      <name val="Verdana"/>
      <family val="2"/>
    </font>
    <font>
      <vertAlign val="subscript"/>
      <sz val="8"/>
      <name val="Verdana"/>
      <family val="2"/>
    </font>
    <font>
      <sz val="10"/>
      <name val="Verdana"/>
      <family val="2"/>
    </font>
    <font>
      <b/>
      <sz val="8"/>
      <color indexed="8"/>
      <name val="Verdana"/>
      <family val="2"/>
    </font>
    <font>
      <vertAlign val="subscript"/>
      <sz val="10"/>
      <name val="Verdana"/>
      <family val="2"/>
    </font>
    <font>
      <sz val="8"/>
      <name val="Tahoma"/>
      <family val="0"/>
    </font>
    <font>
      <b/>
      <sz val="8"/>
      <name val="Tahoma"/>
      <family val="0"/>
    </font>
    <font>
      <b/>
      <sz val="8"/>
      <color indexed="9"/>
      <name val="Verdana"/>
      <family val="2"/>
    </font>
    <font>
      <vertAlign val="subscript"/>
      <sz val="8"/>
      <name val="Tahoma"/>
      <family val="2"/>
    </font>
    <font>
      <b/>
      <sz val="16"/>
      <name val="Verdana"/>
      <family val="2"/>
    </font>
    <font>
      <sz val="7"/>
      <name val="Verdana"/>
      <family val="2"/>
    </font>
    <font>
      <sz val="8"/>
      <color indexed="9"/>
      <name val="Verdana"/>
      <family val="2"/>
    </font>
    <font>
      <u val="single"/>
      <sz val="10"/>
      <color indexed="12"/>
      <name val="Arial"/>
      <family val="0"/>
    </font>
    <font>
      <b/>
      <sz val="9"/>
      <color indexed="9"/>
      <name val="Verdana"/>
      <family val="2"/>
    </font>
    <font>
      <u val="single"/>
      <sz val="10"/>
      <color indexed="36"/>
      <name val="Arial"/>
      <family val="0"/>
    </font>
    <font>
      <sz val="5"/>
      <name val="Verdana"/>
      <family val="2"/>
    </font>
    <font>
      <sz val="6"/>
      <name val="Verdana"/>
      <family val="2"/>
    </font>
    <font>
      <b/>
      <sz val="10"/>
      <name val="Arial"/>
      <family val="2"/>
    </font>
    <font>
      <sz val="8"/>
      <color indexed="8"/>
      <name val="Symbol"/>
      <family val="1"/>
    </font>
    <font>
      <sz val="8"/>
      <color indexed="8"/>
      <name val="Calibri"/>
      <family val="2"/>
    </font>
    <font>
      <sz val="7"/>
      <color indexed="8"/>
      <name val="Verdana"/>
      <family val="2"/>
    </font>
    <font>
      <b/>
      <sz val="15"/>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25"/>
      <color indexed="8"/>
      <name val="Arial"/>
      <family val="2"/>
    </font>
    <font>
      <sz val="8.5"/>
      <color indexed="8"/>
      <name val="Arial"/>
      <family val="2"/>
    </font>
    <font>
      <b/>
      <sz val="8.5"/>
      <color indexed="8"/>
      <name val="Arial"/>
      <family val="2"/>
    </font>
    <font>
      <b/>
      <sz val="9.5"/>
      <color indexed="8"/>
      <name val="Arial"/>
      <family val="2"/>
    </font>
    <font>
      <sz val="9.5"/>
      <color indexed="8"/>
      <name val="Arial"/>
      <family val="2"/>
    </font>
    <font>
      <sz val="10"/>
      <color indexed="8"/>
      <name val="Arial"/>
      <family val="2"/>
    </font>
    <font>
      <b/>
      <sz val="10"/>
      <color indexed="8"/>
      <name val="Arial"/>
      <family val="2"/>
    </font>
    <font>
      <b/>
      <sz val="11"/>
      <color indexed="8"/>
      <name val="Arial"/>
      <family val="2"/>
    </font>
    <font>
      <sz val="8.7"/>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9"/>
        <bgColor indexed="64"/>
      </patternFill>
    </fill>
    <fill>
      <patternFill patternType="solid">
        <fgColor indexed="48"/>
        <bgColor indexed="64"/>
      </patternFill>
    </fill>
    <fill>
      <patternFill patternType="solid">
        <fgColor indexed="8"/>
        <bgColor indexed="64"/>
      </patternFill>
    </fill>
    <fill>
      <patternFill patternType="solid">
        <fgColor indexed="52"/>
        <bgColor indexed="64"/>
      </patternFill>
    </fill>
    <fill>
      <patternFill patternType="solid">
        <fgColor indexed="23"/>
        <bgColor indexed="64"/>
      </patternFill>
    </fill>
    <fill>
      <patternFill patternType="solid">
        <fgColor indexed="41"/>
        <bgColor indexed="64"/>
      </patternFill>
    </fill>
    <fill>
      <patternFill patternType="solid">
        <fgColor indexed="58"/>
        <bgColor indexed="64"/>
      </patternFill>
    </fill>
    <fill>
      <patternFill patternType="solid">
        <fgColor rgb="FF99CCFF"/>
        <bgColor indexed="64"/>
      </patternFill>
    </fill>
    <fill>
      <patternFill patternType="solid">
        <fgColor rgb="FFFFFF99"/>
        <bgColor indexed="64"/>
      </patternFill>
    </fill>
    <fill>
      <patternFill patternType="solid">
        <fgColor indexed="18"/>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8"/>
      </left>
      <right style="thin">
        <color indexed="18"/>
      </right>
      <top style="thin">
        <color indexed="18"/>
      </top>
      <bottom style="thin">
        <color indexed="18"/>
      </bottom>
    </border>
    <border>
      <left style="thin">
        <color indexed="58"/>
      </left>
      <right style="thin">
        <color indexed="58"/>
      </right>
      <top style="thin">
        <color indexed="58"/>
      </top>
      <bottom style="thin">
        <color indexed="58"/>
      </bottom>
    </border>
    <border>
      <left style="thin">
        <color indexed="52"/>
      </left>
      <right style="thin">
        <color indexed="52"/>
      </right>
      <top style="thin">
        <color indexed="52"/>
      </top>
      <bottom style="thin">
        <color indexed="52"/>
      </bottom>
    </border>
    <border>
      <left style="thin">
        <color indexed="58"/>
      </left>
      <right style="thin">
        <color indexed="58"/>
      </right>
      <top style="thick">
        <color indexed="8"/>
      </top>
      <bottom style="thin">
        <color indexed="58"/>
      </bottom>
    </border>
    <border>
      <left style="thin">
        <color indexed="58"/>
      </left>
      <right style="thin">
        <color indexed="58"/>
      </right>
      <top>
        <color indexed="63"/>
      </top>
      <bottom style="thin">
        <color indexed="58"/>
      </bottom>
    </border>
    <border>
      <left style="thin">
        <color indexed="52"/>
      </left>
      <right style="thin">
        <color indexed="52"/>
      </right>
      <top>
        <color indexed="63"/>
      </top>
      <bottom style="thin">
        <color indexed="52"/>
      </bottom>
    </border>
    <border>
      <left style="thin">
        <color indexed="18"/>
      </left>
      <right style="thin">
        <color indexed="18"/>
      </right>
      <top>
        <color indexed="63"/>
      </top>
      <bottom style="thin">
        <color indexed="18"/>
      </bottom>
    </border>
    <border>
      <left style="thin">
        <color indexed="58"/>
      </left>
      <right>
        <color indexed="63"/>
      </right>
      <top style="thick">
        <color indexed="8"/>
      </top>
      <bottom style="thin">
        <color indexed="58"/>
      </bottom>
    </border>
    <border>
      <left style="thin">
        <color indexed="58"/>
      </left>
      <right style="thin">
        <color indexed="58"/>
      </right>
      <top style="thin">
        <color indexed="58"/>
      </top>
      <bottom style="thick">
        <color indexed="8"/>
      </bottom>
    </border>
    <border>
      <left style="thin"/>
      <right style="thin"/>
      <top style="thin"/>
      <bottom style="thin"/>
    </border>
    <border>
      <left style="thin">
        <color indexed="53"/>
      </left>
      <right style="thin">
        <color indexed="53"/>
      </right>
      <top style="thin">
        <color indexed="53"/>
      </top>
      <bottom style="thin">
        <color indexed="53"/>
      </bottom>
    </border>
    <border>
      <left>
        <color indexed="63"/>
      </left>
      <right>
        <color indexed="63"/>
      </right>
      <top style="thin"/>
      <bottom>
        <color indexed="63"/>
      </bottom>
    </border>
    <border>
      <left style="thin">
        <color indexed="55"/>
      </left>
      <right>
        <color indexed="63"/>
      </right>
      <top style="thick">
        <color indexed="8"/>
      </top>
      <bottom style="thick">
        <color indexed="8"/>
      </bottom>
    </border>
    <border>
      <left>
        <color indexed="63"/>
      </left>
      <right>
        <color indexed="63"/>
      </right>
      <top style="thick">
        <color indexed="8"/>
      </top>
      <bottom style="thick">
        <color indexed="8"/>
      </bottom>
    </border>
    <border>
      <left style="thin">
        <color indexed="58"/>
      </left>
      <right style="thin">
        <color indexed="58"/>
      </right>
      <top style="thick">
        <color indexed="8"/>
      </top>
      <bottom style="thick">
        <color indexed="8"/>
      </bottom>
    </border>
    <border>
      <left>
        <color indexed="63"/>
      </left>
      <right>
        <color indexed="63"/>
      </right>
      <top>
        <color indexed="63"/>
      </top>
      <bottom style="thin"/>
    </border>
    <border>
      <left style="thin">
        <color indexed="58"/>
      </left>
      <right style="thin">
        <color indexed="58"/>
      </right>
      <top>
        <color indexed="63"/>
      </top>
      <bottom style="thick">
        <color indexed="8"/>
      </bottom>
    </border>
    <border>
      <left>
        <color indexed="63"/>
      </left>
      <right>
        <color indexed="63"/>
      </right>
      <top style="thin">
        <color indexed="52"/>
      </top>
      <bottom>
        <color indexed="63"/>
      </bottom>
    </border>
    <border>
      <left>
        <color indexed="63"/>
      </left>
      <right style="thin">
        <color indexed="53"/>
      </right>
      <top style="thin">
        <color indexed="53"/>
      </top>
      <bottom style="thin">
        <color indexed="53"/>
      </bottom>
    </border>
    <border>
      <left style="thin">
        <color indexed="53"/>
      </left>
      <right>
        <color indexed="63"/>
      </right>
      <top style="thin">
        <color indexed="53"/>
      </top>
      <bottom style="thin">
        <color indexed="53"/>
      </bottom>
    </border>
    <border>
      <left>
        <color indexed="63"/>
      </left>
      <right style="thin">
        <color indexed="18"/>
      </right>
      <top style="thin">
        <color indexed="18"/>
      </top>
      <bottom style="thin">
        <color indexed="18"/>
      </bottom>
    </border>
    <border>
      <left style="thin">
        <color indexed="55"/>
      </left>
      <right>
        <color indexed="63"/>
      </right>
      <top>
        <color indexed="63"/>
      </top>
      <bottom style="thick">
        <color indexed="8"/>
      </bottom>
    </border>
    <border>
      <left>
        <color indexed="63"/>
      </left>
      <right>
        <color indexed="63"/>
      </right>
      <top>
        <color indexed="63"/>
      </top>
      <bottom style="thick">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18"/>
      </left>
      <right style="thin">
        <color indexed="18"/>
      </right>
      <top style="thick">
        <color indexed="8"/>
      </top>
      <bottom style="thick">
        <color indexed="8"/>
      </bottom>
    </border>
    <border>
      <left>
        <color indexed="63"/>
      </left>
      <right>
        <color indexed="63"/>
      </right>
      <top>
        <color indexed="63"/>
      </top>
      <bottom style="thin">
        <color indexed="55"/>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18"/>
      </left>
      <right>
        <color indexed="63"/>
      </right>
      <top style="thin">
        <color indexed="18"/>
      </top>
      <bottom style="thin">
        <color indexed="18"/>
      </bottom>
    </border>
    <border>
      <left style="thin">
        <color indexed="18"/>
      </left>
      <right>
        <color indexed="63"/>
      </right>
      <top style="thick">
        <color indexed="8"/>
      </top>
      <bottom style="thick">
        <color indexed="8"/>
      </bottom>
    </border>
    <border>
      <left>
        <color indexed="63"/>
      </left>
      <right style="thin">
        <color indexed="18"/>
      </right>
      <top style="thick">
        <color indexed="8"/>
      </top>
      <bottom style="thick">
        <color indexed="8"/>
      </bottom>
    </border>
    <border>
      <left style="thin">
        <color indexed="58"/>
      </left>
      <right>
        <color indexed="63"/>
      </right>
      <top style="thick">
        <color indexed="8"/>
      </top>
      <bottom>
        <color indexed="63"/>
      </bottom>
    </border>
    <border>
      <left>
        <color indexed="63"/>
      </left>
      <right>
        <color indexed="63"/>
      </right>
      <top style="thick">
        <color indexed="8"/>
      </top>
      <bottom>
        <color indexed="63"/>
      </bottom>
    </border>
    <border>
      <left>
        <color indexed="63"/>
      </left>
      <right style="thin">
        <color indexed="58"/>
      </right>
      <top style="thick">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19"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7"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94">
    <xf numFmtId="0" fontId="0" fillId="0" borderId="0" xfId="0" applyAlignment="1">
      <alignment/>
    </xf>
    <xf numFmtId="0" fontId="7" fillId="0" borderId="0" xfId="0" applyFont="1" applyAlignment="1">
      <alignment/>
    </xf>
    <xf numFmtId="0" fontId="2" fillId="0" borderId="0" xfId="0" applyFont="1" applyAlignment="1">
      <alignment/>
    </xf>
    <xf numFmtId="0" fontId="3" fillId="33" borderId="10" xfId="0" applyFont="1" applyFill="1" applyBorder="1" applyAlignment="1">
      <alignment horizontal="justify" vertical="top" wrapText="1"/>
    </xf>
    <xf numFmtId="0" fontId="2" fillId="33" borderId="10" xfId="0" applyFont="1" applyFill="1" applyBorder="1" applyAlignment="1">
      <alignment/>
    </xf>
    <xf numFmtId="0" fontId="7" fillId="33" borderId="10" xfId="0" applyFont="1" applyFill="1" applyBorder="1" applyAlignment="1">
      <alignment/>
    </xf>
    <xf numFmtId="0" fontId="7" fillId="34" borderId="11" xfId="0" applyFont="1" applyFill="1" applyBorder="1" applyAlignment="1">
      <alignment/>
    </xf>
    <xf numFmtId="0" fontId="7" fillId="34" borderId="12" xfId="0" applyFont="1" applyFill="1" applyBorder="1" applyAlignment="1">
      <alignment/>
    </xf>
    <xf numFmtId="0" fontId="7" fillId="35" borderId="13" xfId="0" applyFont="1" applyFill="1" applyBorder="1" applyAlignment="1">
      <alignment/>
    </xf>
    <xf numFmtId="0" fontId="7" fillId="34" borderId="14" xfId="0" applyFont="1" applyFill="1" applyBorder="1" applyAlignment="1">
      <alignment/>
    </xf>
    <xf numFmtId="0" fontId="7" fillId="34" borderId="15" xfId="0" applyFont="1" applyFill="1" applyBorder="1" applyAlignment="1">
      <alignment/>
    </xf>
    <xf numFmtId="0" fontId="3" fillId="33" borderId="16" xfId="0" applyFont="1" applyFill="1" applyBorder="1" applyAlignment="1">
      <alignment horizontal="justify" vertical="top" wrapText="1"/>
    </xf>
    <xf numFmtId="0" fontId="15" fillId="0" borderId="0" xfId="0" applyFont="1" applyAlignment="1">
      <alignment/>
    </xf>
    <xf numFmtId="0" fontId="3" fillId="35" borderId="0" xfId="0" applyFont="1" applyFill="1" applyBorder="1" applyAlignment="1">
      <alignment horizontal="justify" vertical="top" wrapText="1"/>
    </xf>
    <xf numFmtId="0" fontId="7" fillId="34" borderId="0" xfId="0" applyFont="1" applyFill="1" applyBorder="1" applyAlignment="1">
      <alignment/>
    </xf>
    <xf numFmtId="0" fontId="7" fillId="35" borderId="17" xfId="0" applyFont="1" applyFill="1" applyBorder="1" applyAlignment="1">
      <alignment/>
    </xf>
    <xf numFmtId="0" fontId="3" fillId="35" borderId="18" xfId="0" applyFont="1" applyFill="1" applyBorder="1" applyAlignment="1">
      <alignment horizontal="justify" vertical="top" wrapText="1"/>
    </xf>
    <xf numFmtId="0" fontId="2" fillId="34" borderId="16" xfId="0" applyFont="1" applyFill="1" applyBorder="1" applyAlignment="1">
      <alignment/>
    </xf>
    <xf numFmtId="0" fontId="2" fillId="34" borderId="10" xfId="0" applyFont="1" applyFill="1" applyBorder="1" applyAlignment="1">
      <alignment/>
    </xf>
    <xf numFmtId="171" fontId="3" fillId="36" borderId="12" xfId="0" applyNumberFormat="1" applyFont="1" applyFill="1" applyBorder="1" applyAlignment="1">
      <alignment horizontal="right" wrapText="1"/>
    </xf>
    <xf numFmtId="172" fontId="3" fillId="36" borderId="12" xfId="0" applyNumberFormat="1" applyFont="1" applyFill="1" applyBorder="1" applyAlignment="1">
      <alignment horizontal="right"/>
    </xf>
    <xf numFmtId="173" fontId="3" fillId="36" borderId="12" xfId="0" applyNumberFormat="1" applyFont="1" applyFill="1" applyBorder="1" applyAlignment="1">
      <alignment horizontal="right" wrapText="1"/>
    </xf>
    <xf numFmtId="175" fontId="3" fillId="36" borderId="12" xfId="0" applyNumberFormat="1" applyFont="1" applyFill="1" applyBorder="1" applyAlignment="1">
      <alignment horizontal="right" wrapText="1"/>
    </xf>
    <xf numFmtId="177" fontId="3" fillId="35" borderId="11" xfId="0" applyNumberFormat="1" applyFont="1" applyFill="1" applyBorder="1" applyAlignment="1">
      <alignment horizontal="right" wrapText="1"/>
    </xf>
    <xf numFmtId="178" fontId="3" fillId="35" borderId="11" xfId="0" applyNumberFormat="1" applyFont="1" applyFill="1" applyBorder="1" applyAlignment="1">
      <alignment horizontal="right" wrapText="1"/>
    </xf>
    <xf numFmtId="165" fontId="3" fillId="35" borderId="11" xfId="0" applyNumberFormat="1" applyFont="1" applyFill="1" applyBorder="1" applyAlignment="1">
      <alignment horizontal="right" wrapText="1"/>
    </xf>
    <xf numFmtId="179" fontId="3" fillId="35" borderId="14" xfId="0" applyNumberFormat="1" applyFont="1" applyFill="1" applyBorder="1" applyAlignment="1">
      <alignment horizontal="right" wrapText="1"/>
    </xf>
    <xf numFmtId="179" fontId="3" fillId="35" borderId="11" xfId="0" applyNumberFormat="1" applyFont="1" applyFill="1" applyBorder="1" applyAlignment="1">
      <alignment horizontal="right" wrapText="1"/>
    </xf>
    <xf numFmtId="169" fontId="3" fillId="35" borderId="11" xfId="0" applyNumberFormat="1" applyFont="1" applyFill="1" applyBorder="1" applyAlignment="1">
      <alignment horizontal="right" wrapText="1"/>
    </xf>
    <xf numFmtId="183" fontId="3" fillId="36" borderId="12" xfId="0" applyNumberFormat="1" applyFont="1" applyFill="1" applyBorder="1" applyAlignment="1">
      <alignment horizontal="right" wrapText="1"/>
    </xf>
    <xf numFmtId="0" fontId="3" fillId="33" borderId="10" xfId="0" applyFont="1" applyFill="1" applyBorder="1" applyAlignment="1">
      <alignment horizontal="justify" vertical="center" wrapText="1"/>
    </xf>
    <xf numFmtId="0" fontId="3" fillId="33" borderId="16" xfId="0" applyFont="1" applyFill="1" applyBorder="1" applyAlignment="1">
      <alignment horizontal="justify" vertical="center" wrapText="1"/>
    </xf>
    <xf numFmtId="0" fontId="2" fillId="33" borderId="10" xfId="0" applyFont="1" applyFill="1" applyBorder="1" applyAlignment="1">
      <alignment vertical="center" wrapText="1"/>
    </xf>
    <xf numFmtId="0" fontId="2" fillId="33" borderId="10" xfId="0" applyFont="1" applyFill="1" applyBorder="1" applyAlignment="1">
      <alignment vertical="center"/>
    </xf>
    <xf numFmtId="0" fontId="3" fillId="35" borderId="14" xfId="0" applyFont="1" applyFill="1" applyBorder="1" applyAlignment="1">
      <alignment vertical="center" wrapText="1"/>
    </xf>
    <xf numFmtId="0" fontId="3" fillId="35" borderId="11" xfId="0" applyFont="1" applyFill="1" applyBorder="1" applyAlignment="1">
      <alignment horizontal="justify" vertical="center" wrapText="1"/>
    </xf>
    <xf numFmtId="0" fontId="3" fillId="35" borderId="14" xfId="0" applyFont="1" applyFill="1" applyBorder="1" applyAlignment="1">
      <alignment horizontal="justify" vertical="center" wrapText="1"/>
    </xf>
    <xf numFmtId="0" fontId="3" fillId="37" borderId="15" xfId="0" applyFont="1" applyFill="1" applyBorder="1" applyAlignment="1">
      <alignment horizontal="justify" vertical="center" wrapText="1"/>
    </xf>
    <xf numFmtId="0" fontId="3" fillId="37" borderId="12" xfId="0" applyFont="1" applyFill="1" applyBorder="1" applyAlignment="1">
      <alignment horizontal="justify" vertical="center" wrapText="1"/>
    </xf>
    <xf numFmtId="0" fontId="2" fillId="37" borderId="12" xfId="0" applyFont="1" applyFill="1" applyBorder="1" applyAlignment="1">
      <alignment vertical="center"/>
    </xf>
    <xf numFmtId="0" fontId="3" fillId="38" borderId="14" xfId="0" applyNumberFormat="1" applyFont="1" applyFill="1" applyBorder="1" applyAlignment="1" applyProtection="1">
      <alignment horizontal="right" wrapText="1"/>
      <protection locked="0"/>
    </xf>
    <xf numFmtId="176" fontId="3" fillId="0" borderId="16" xfId="0" applyNumberFormat="1" applyFont="1" applyFill="1" applyBorder="1" applyAlignment="1" applyProtection="1">
      <alignment horizontal="right"/>
      <protection locked="0"/>
    </xf>
    <xf numFmtId="176" fontId="3" fillId="0" borderId="10" xfId="0" applyNumberFormat="1" applyFont="1" applyFill="1" applyBorder="1" applyAlignment="1" applyProtection="1">
      <alignment horizontal="right"/>
      <protection locked="0"/>
    </xf>
    <xf numFmtId="181" fontId="3" fillId="0" borderId="10" xfId="0" applyNumberFormat="1" applyFont="1" applyFill="1" applyBorder="1" applyAlignment="1" applyProtection="1">
      <alignment horizontal="right"/>
      <protection locked="0"/>
    </xf>
    <xf numFmtId="165" fontId="3" fillId="0" borderId="10" xfId="0" applyNumberFormat="1" applyFont="1" applyFill="1" applyBorder="1" applyAlignment="1" applyProtection="1">
      <alignment horizontal="right"/>
      <protection locked="0"/>
    </xf>
    <xf numFmtId="182" fontId="3" fillId="0" borderId="10" xfId="0" applyNumberFormat="1" applyFont="1" applyFill="1" applyBorder="1" applyAlignment="1" applyProtection="1">
      <alignment horizontal="right"/>
      <protection locked="0"/>
    </xf>
    <xf numFmtId="184" fontId="3" fillId="0" borderId="10" xfId="0" applyNumberFormat="1" applyFont="1" applyFill="1" applyBorder="1" applyAlignment="1" applyProtection="1">
      <alignment horizontal="right"/>
      <protection locked="0"/>
    </xf>
    <xf numFmtId="185" fontId="3" fillId="0" borderId="10" xfId="0" applyNumberFormat="1" applyFont="1" applyFill="1" applyBorder="1" applyAlignment="1" applyProtection="1">
      <alignment horizontal="right"/>
      <protection locked="0"/>
    </xf>
    <xf numFmtId="172" fontId="3" fillId="0" borderId="10" xfId="0" applyNumberFormat="1" applyFont="1" applyFill="1" applyBorder="1" applyAlignment="1" applyProtection="1">
      <alignment horizontal="right"/>
      <protection locked="0"/>
    </xf>
    <xf numFmtId="0" fontId="3" fillId="38" borderId="11" xfId="0" applyFont="1" applyFill="1" applyBorder="1" applyAlignment="1" applyProtection="1">
      <alignment horizontal="right" wrapText="1"/>
      <protection locked="0"/>
    </xf>
    <xf numFmtId="0" fontId="2" fillId="35" borderId="14" xfId="0" applyFont="1" applyFill="1" applyBorder="1" applyAlignment="1">
      <alignment vertical="center" wrapText="1"/>
    </xf>
    <xf numFmtId="186" fontId="0" fillId="0" borderId="0" xfId="0" applyNumberFormat="1" applyAlignment="1">
      <alignment/>
    </xf>
    <xf numFmtId="0" fontId="2" fillId="0" borderId="0" xfId="0" applyFont="1" applyBorder="1" applyAlignment="1">
      <alignment/>
    </xf>
    <xf numFmtId="166" fontId="2" fillId="0" borderId="19" xfId="0" applyNumberFormat="1" applyFont="1" applyBorder="1" applyAlignment="1">
      <alignment/>
    </xf>
    <xf numFmtId="191" fontId="3" fillId="36" borderId="12" xfId="0" applyNumberFormat="1" applyFont="1" applyFill="1" applyBorder="1" applyAlignment="1">
      <alignment horizontal="right" wrapText="1"/>
    </xf>
    <xf numFmtId="0" fontId="0" fillId="0" borderId="19" xfId="0" applyBorder="1" applyAlignment="1">
      <alignment horizontal="center"/>
    </xf>
    <xf numFmtId="0" fontId="0" fillId="0" borderId="19" xfId="0" applyBorder="1" applyAlignment="1">
      <alignment/>
    </xf>
    <xf numFmtId="0" fontId="3" fillId="37" borderId="20" xfId="0" applyFont="1" applyFill="1" applyBorder="1" applyAlignment="1">
      <alignment horizontal="justify" vertical="center" wrapText="1"/>
    </xf>
    <xf numFmtId="191" fontId="3" fillId="36" borderId="20" xfId="0" applyNumberFormat="1" applyFont="1" applyFill="1" applyBorder="1" applyAlignment="1">
      <alignment horizontal="right" wrapText="1"/>
    </xf>
    <xf numFmtId="0" fontId="7" fillId="34" borderId="20" xfId="0" applyFont="1" applyFill="1" applyBorder="1" applyAlignment="1">
      <alignment/>
    </xf>
    <xf numFmtId="167" fontId="3" fillId="36" borderId="20" xfId="0" applyNumberFormat="1" applyFont="1" applyFill="1" applyBorder="1" applyAlignment="1">
      <alignment horizontal="right" wrapText="1"/>
    </xf>
    <xf numFmtId="192" fontId="3" fillId="36" borderId="20" xfId="0" applyNumberFormat="1" applyFont="1" applyFill="1" applyBorder="1" applyAlignment="1">
      <alignment horizontal="right" wrapText="1"/>
    </xf>
    <xf numFmtId="175" fontId="3" fillId="36" borderId="20" xfId="0" applyNumberFormat="1" applyFont="1" applyFill="1" applyBorder="1" applyAlignment="1">
      <alignment horizontal="right" wrapText="1"/>
    </xf>
    <xf numFmtId="173" fontId="3" fillId="36" borderId="20" xfId="0" applyNumberFormat="1" applyFont="1" applyFill="1" applyBorder="1" applyAlignment="1">
      <alignment horizontal="right" wrapText="1"/>
    </xf>
    <xf numFmtId="183" fontId="3" fillId="36" borderId="20" xfId="0" applyNumberFormat="1" applyFont="1" applyFill="1" applyBorder="1" applyAlignment="1">
      <alignment horizontal="right" wrapText="1"/>
    </xf>
    <xf numFmtId="168" fontId="3" fillId="36" borderId="20" xfId="0" applyNumberFormat="1" applyFont="1" applyFill="1" applyBorder="1" applyAlignment="1">
      <alignment horizontal="right" wrapText="1"/>
    </xf>
    <xf numFmtId="169" fontId="3" fillId="36" borderId="20" xfId="0" applyNumberFormat="1" applyFont="1" applyFill="1" applyBorder="1" applyAlignment="1">
      <alignment horizontal="right" wrapText="1"/>
    </xf>
    <xf numFmtId="171" fontId="3" fillId="36" borderId="20" xfId="0" applyNumberFormat="1" applyFont="1" applyFill="1" applyBorder="1" applyAlignment="1">
      <alignment horizontal="right" wrapText="1"/>
    </xf>
    <xf numFmtId="0" fontId="2" fillId="37" borderId="20" xfId="0" applyFont="1" applyFill="1" applyBorder="1" applyAlignment="1">
      <alignment vertical="center"/>
    </xf>
    <xf numFmtId="172" fontId="3" fillId="36" borderId="20" xfId="0" applyNumberFormat="1" applyFont="1" applyFill="1" applyBorder="1" applyAlignment="1">
      <alignment horizontal="right"/>
    </xf>
    <xf numFmtId="193" fontId="3" fillId="0" borderId="10" xfId="0" applyNumberFormat="1" applyFont="1" applyFill="1" applyBorder="1" applyAlignment="1" applyProtection="1">
      <alignment horizontal="right"/>
      <protection locked="0"/>
    </xf>
    <xf numFmtId="0" fontId="15" fillId="0" borderId="21" xfId="0" applyFont="1" applyBorder="1" applyAlignment="1">
      <alignment horizontal="right"/>
    </xf>
    <xf numFmtId="194" fontId="3" fillId="0" borderId="10" xfId="0" applyNumberFormat="1" applyFont="1" applyFill="1" applyBorder="1" applyAlignment="1" applyProtection="1">
      <alignment horizontal="right"/>
      <protection locked="0"/>
    </xf>
    <xf numFmtId="0" fontId="7" fillId="0" borderId="0" xfId="0" applyFont="1" applyAlignment="1" applyProtection="1">
      <alignment/>
      <protection hidden="1"/>
    </xf>
    <xf numFmtId="0" fontId="2" fillId="0" borderId="0" xfId="0" applyFont="1" applyAlignment="1" applyProtection="1">
      <alignment/>
      <protection hidden="1"/>
    </xf>
    <xf numFmtId="0" fontId="16" fillId="39" borderId="19" xfId="0" applyFont="1" applyFill="1" applyBorder="1" applyAlignment="1" applyProtection="1">
      <alignment horizontal="center"/>
      <protection hidden="1"/>
    </xf>
    <xf numFmtId="0" fontId="3" fillId="40" borderId="19" xfId="0" applyFont="1" applyFill="1" applyBorder="1" applyAlignment="1" applyProtection="1">
      <alignment horizontal="center"/>
      <protection hidden="1"/>
    </xf>
    <xf numFmtId="0" fontId="2" fillId="41" borderId="19" xfId="0" applyFont="1" applyFill="1" applyBorder="1" applyAlignment="1" applyProtection="1">
      <alignment horizontal="center"/>
      <protection hidden="1"/>
    </xf>
    <xf numFmtId="0" fontId="3" fillId="33" borderId="19" xfId="0" applyFont="1" applyFill="1" applyBorder="1" applyAlignment="1" applyProtection="1">
      <alignment horizontal="center" vertical="center" wrapText="1"/>
      <protection hidden="1"/>
    </xf>
    <xf numFmtId="191" fontId="2" fillId="33" borderId="19" xfId="0" applyNumberFormat="1" applyFont="1" applyFill="1" applyBorder="1" applyAlignment="1" applyProtection="1">
      <alignment horizontal="right"/>
      <protection hidden="1"/>
    </xf>
    <xf numFmtId="166" fontId="3" fillId="42" borderId="19" xfId="0" applyNumberFormat="1" applyFont="1" applyFill="1" applyBorder="1" applyAlignment="1" applyProtection="1">
      <alignment/>
      <protection hidden="1"/>
    </xf>
    <xf numFmtId="0" fontId="2" fillId="37" borderId="19" xfId="0" applyFont="1" applyFill="1" applyBorder="1" applyAlignment="1" applyProtection="1">
      <alignment horizontal="center"/>
      <protection hidden="1"/>
    </xf>
    <xf numFmtId="189" fontId="2" fillId="36" borderId="19" xfId="0" applyNumberFormat="1" applyFont="1" applyFill="1" applyBorder="1" applyAlignment="1" applyProtection="1">
      <alignment horizontal="right"/>
      <protection hidden="1"/>
    </xf>
    <xf numFmtId="189" fontId="2" fillId="37" borderId="19" xfId="0" applyNumberFormat="1" applyFont="1" applyFill="1" applyBorder="1" applyAlignment="1" applyProtection="1">
      <alignment horizontal="right"/>
      <protection hidden="1"/>
    </xf>
    <xf numFmtId="0" fontId="2" fillId="0" borderId="0" xfId="0" applyFont="1" applyBorder="1" applyAlignment="1" applyProtection="1">
      <alignment/>
      <protection hidden="1"/>
    </xf>
    <xf numFmtId="172" fontId="2" fillId="36" borderId="19" xfId="0" applyNumberFormat="1" applyFont="1" applyFill="1" applyBorder="1" applyAlignment="1" applyProtection="1">
      <alignment horizontal="right"/>
      <protection hidden="1"/>
    </xf>
    <xf numFmtId="172" fontId="2" fillId="37" borderId="19" xfId="0" applyNumberFormat="1" applyFont="1" applyFill="1" applyBorder="1" applyAlignment="1" applyProtection="1">
      <alignment horizontal="right"/>
      <protection hidden="1"/>
    </xf>
    <xf numFmtId="0" fontId="2" fillId="0" borderId="0" xfId="0" applyFont="1" applyAlignment="1" applyProtection="1">
      <alignment vertical="center"/>
      <protection hidden="1"/>
    </xf>
    <xf numFmtId="0" fontId="2" fillId="40" borderId="19" xfId="0" applyFont="1" applyFill="1" applyBorder="1" applyAlignment="1" applyProtection="1">
      <alignment horizontal="center"/>
      <protection hidden="1"/>
    </xf>
    <xf numFmtId="166" fontId="2" fillId="42" borderId="19" xfId="0" applyNumberFormat="1" applyFont="1" applyFill="1" applyBorder="1" applyAlignment="1" applyProtection="1">
      <alignment/>
      <protection hidden="1"/>
    </xf>
    <xf numFmtId="183" fontId="2" fillId="43" borderId="19" xfId="0" applyNumberFormat="1" applyFont="1" applyFill="1" applyBorder="1" applyAlignment="1" applyProtection="1">
      <alignment horizontal="right"/>
      <protection hidden="1"/>
    </xf>
    <xf numFmtId="0" fontId="2" fillId="42" borderId="19" xfId="0" applyFont="1" applyFill="1" applyBorder="1" applyAlignment="1" applyProtection="1">
      <alignment/>
      <protection hidden="1"/>
    </xf>
    <xf numFmtId="183" fontId="2" fillId="37" borderId="19" xfId="0" applyNumberFormat="1" applyFont="1" applyFill="1" applyBorder="1" applyAlignment="1" applyProtection="1">
      <alignment horizontal="center"/>
      <protection hidden="1"/>
    </xf>
    <xf numFmtId="185" fontId="2" fillId="36" borderId="19" xfId="0" applyNumberFormat="1" applyFont="1" applyFill="1" applyBorder="1" applyAlignment="1" applyProtection="1">
      <alignment/>
      <protection hidden="1"/>
    </xf>
    <xf numFmtId="185" fontId="2" fillId="37" borderId="19" xfId="0" applyNumberFormat="1" applyFont="1" applyFill="1" applyBorder="1" applyAlignment="1" applyProtection="1">
      <alignment/>
      <protection hidden="1"/>
    </xf>
    <xf numFmtId="177" fontId="2" fillId="36" borderId="19" xfId="0" applyNumberFormat="1" applyFont="1" applyFill="1" applyBorder="1" applyAlignment="1" applyProtection="1">
      <alignment horizontal="right"/>
      <protection hidden="1"/>
    </xf>
    <xf numFmtId="177" fontId="2" fillId="37" borderId="19" xfId="0" applyNumberFormat="1" applyFont="1" applyFill="1" applyBorder="1" applyAlignment="1" applyProtection="1">
      <alignment horizontal="right"/>
      <protection hidden="1"/>
    </xf>
    <xf numFmtId="178" fontId="2" fillId="43" borderId="19" xfId="0" applyNumberFormat="1" applyFont="1" applyFill="1" applyBorder="1" applyAlignment="1" applyProtection="1">
      <alignment horizontal="right"/>
      <protection hidden="1"/>
    </xf>
    <xf numFmtId="165" fontId="2" fillId="36" borderId="19" xfId="0" applyNumberFormat="1" applyFont="1" applyFill="1" applyBorder="1" applyAlignment="1" applyProtection="1">
      <alignment horizontal="right"/>
      <protection hidden="1"/>
    </xf>
    <xf numFmtId="165" fontId="2" fillId="37" borderId="19" xfId="0" applyNumberFormat="1" applyFont="1" applyFill="1" applyBorder="1" applyAlignment="1" applyProtection="1">
      <alignment horizontal="right"/>
      <protection hidden="1"/>
    </xf>
    <xf numFmtId="0" fontId="2" fillId="33" borderId="19" xfId="0" applyFont="1" applyFill="1" applyBorder="1" applyAlignment="1" applyProtection="1">
      <alignment/>
      <protection hidden="1"/>
    </xf>
    <xf numFmtId="0" fontId="2" fillId="0" borderId="19" xfId="0" applyFont="1" applyFill="1" applyBorder="1" applyAlignment="1" applyProtection="1">
      <alignment/>
      <protection hidden="1"/>
    </xf>
    <xf numFmtId="179" fontId="2" fillId="36" borderId="19" xfId="0" applyNumberFormat="1" applyFont="1" applyFill="1" applyBorder="1" applyAlignment="1" applyProtection="1">
      <alignment horizontal="right"/>
      <protection hidden="1"/>
    </xf>
    <xf numFmtId="179" fontId="2" fillId="37" borderId="19" xfId="0" applyNumberFormat="1" applyFont="1" applyFill="1" applyBorder="1" applyAlignment="1" applyProtection="1">
      <alignment horizontal="right"/>
      <protection hidden="1"/>
    </xf>
    <xf numFmtId="195" fontId="2" fillId="36" borderId="19" xfId="0" applyNumberFormat="1" applyFont="1" applyFill="1" applyBorder="1" applyAlignment="1" applyProtection="1">
      <alignment horizontal="right"/>
      <protection hidden="1"/>
    </xf>
    <xf numFmtId="194" fontId="2" fillId="37" borderId="19" xfId="0" applyNumberFormat="1" applyFont="1" applyFill="1" applyBorder="1" applyAlignment="1" applyProtection="1">
      <alignment horizontal="right"/>
      <protection hidden="1"/>
    </xf>
    <xf numFmtId="171" fontId="2" fillId="43" borderId="19" xfId="0" applyNumberFormat="1" applyFont="1" applyFill="1" applyBorder="1" applyAlignment="1" applyProtection="1">
      <alignment horizontal="right"/>
      <protection hidden="1"/>
    </xf>
    <xf numFmtId="0" fontId="2" fillId="37" borderId="19" xfId="0" applyFont="1" applyFill="1" applyBorder="1" applyAlignment="1" applyProtection="1">
      <alignment/>
      <protection hidden="1"/>
    </xf>
    <xf numFmtId="169" fontId="2" fillId="43" borderId="19" xfId="0" applyNumberFormat="1" applyFont="1" applyFill="1" applyBorder="1" applyAlignment="1" applyProtection="1">
      <alignment horizontal="right"/>
      <protection hidden="1"/>
    </xf>
    <xf numFmtId="187" fontId="2" fillId="36" borderId="19" xfId="0" applyNumberFormat="1" applyFont="1" applyFill="1" applyBorder="1" applyAlignment="1" applyProtection="1">
      <alignment horizontal="right"/>
      <protection hidden="1"/>
    </xf>
    <xf numFmtId="187" fontId="2" fillId="37" borderId="19" xfId="0" applyNumberFormat="1" applyFont="1" applyFill="1" applyBorder="1" applyAlignment="1" applyProtection="1">
      <alignment horizontal="right"/>
      <protection hidden="1"/>
    </xf>
    <xf numFmtId="164" fontId="2" fillId="36" borderId="19" xfId="0" applyNumberFormat="1" applyFont="1" applyFill="1" applyBorder="1" applyAlignment="1" applyProtection="1">
      <alignment horizontal="right"/>
      <protection hidden="1"/>
    </xf>
    <xf numFmtId="164" fontId="2" fillId="37" borderId="19" xfId="0" applyNumberFormat="1" applyFont="1" applyFill="1" applyBorder="1" applyAlignment="1" applyProtection="1">
      <alignment horizontal="right"/>
      <protection hidden="1"/>
    </xf>
    <xf numFmtId="175" fontId="2" fillId="43" borderId="19" xfId="0" applyNumberFormat="1" applyFont="1" applyFill="1" applyBorder="1" applyAlignment="1" applyProtection="1">
      <alignment horizontal="right"/>
      <protection hidden="1"/>
    </xf>
    <xf numFmtId="185" fontId="2" fillId="36" borderId="19" xfId="0" applyNumberFormat="1" applyFont="1" applyFill="1" applyBorder="1" applyAlignment="1" applyProtection="1">
      <alignment horizontal="right"/>
      <protection hidden="1"/>
    </xf>
    <xf numFmtId="185" fontId="2" fillId="37" borderId="19" xfId="0" applyNumberFormat="1" applyFont="1" applyFill="1" applyBorder="1" applyAlignment="1" applyProtection="1">
      <alignment horizontal="right"/>
      <protection hidden="1"/>
    </xf>
    <xf numFmtId="0" fontId="2" fillId="36" borderId="19" xfId="0" applyFont="1" applyFill="1" applyBorder="1" applyAlignment="1" applyProtection="1">
      <alignment/>
      <protection hidden="1"/>
    </xf>
    <xf numFmtId="193" fontId="2" fillId="36" borderId="19" xfId="0" applyNumberFormat="1" applyFont="1" applyFill="1" applyBorder="1" applyAlignment="1" applyProtection="1">
      <alignment/>
      <protection hidden="1"/>
    </xf>
    <xf numFmtId="193" fontId="2" fillId="37" borderId="19" xfId="0" applyNumberFormat="1" applyFont="1" applyFill="1" applyBorder="1" applyAlignment="1" applyProtection="1">
      <alignment/>
      <protection hidden="1"/>
    </xf>
    <xf numFmtId="173" fontId="2" fillId="33" borderId="19" xfId="0" applyNumberFormat="1" applyFont="1" applyFill="1" applyBorder="1" applyAlignment="1" applyProtection="1">
      <alignment horizontal="right"/>
      <protection hidden="1"/>
    </xf>
    <xf numFmtId="173" fontId="2" fillId="42" borderId="19" xfId="0" applyNumberFormat="1" applyFont="1" applyFill="1" applyBorder="1" applyAlignment="1" applyProtection="1">
      <alignment/>
      <protection hidden="1"/>
    </xf>
    <xf numFmtId="190" fontId="2" fillId="36" borderId="19" xfId="0" applyNumberFormat="1" applyFont="1" applyFill="1" applyBorder="1" applyAlignment="1" applyProtection="1">
      <alignment horizontal="right"/>
      <protection hidden="1"/>
    </xf>
    <xf numFmtId="190" fontId="2" fillId="37" borderId="19" xfId="0" applyNumberFormat="1" applyFont="1" applyFill="1" applyBorder="1" applyAlignment="1" applyProtection="1">
      <alignment horizontal="right"/>
      <protection hidden="1"/>
    </xf>
    <xf numFmtId="188" fontId="2" fillId="36" borderId="19" xfId="0" applyNumberFormat="1" applyFont="1" applyFill="1" applyBorder="1" applyAlignment="1" applyProtection="1">
      <alignment horizontal="right"/>
      <protection hidden="1"/>
    </xf>
    <xf numFmtId="188" fontId="2" fillId="37" borderId="19" xfId="0" applyNumberFormat="1" applyFont="1" applyFill="1" applyBorder="1" applyAlignment="1" applyProtection="1">
      <alignment horizontal="right"/>
      <protection hidden="1"/>
    </xf>
    <xf numFmtId="0" fontId="15" fillId="0" borderId="0" xfId="0" applyFont="1" applyAlignment="1" applyProtection="1">
      <alignment/>
      <protection hidden="1"/>
    </xf>
    <xf numFmtId="178" fontId="3" fillId="36" borderId="20" xfId="0" applyNumberFormat="1" applyFont="1" applyFill="1" applyBorder="1" applyAlignment="1">
      <alignment horizontal="right" wrapText="1"/>
    </xf>
    <xf numFmtId="176" fontId="2" fillId="0" borderId="10" xfId="0" applyNumberFormat="1" applyFont="1" applyFill="1" applyBorder="1" applyAlignment="1" applyProtection="1">
      <alignment horizontal="right"/>
      <protection locked="0"/>
    </xf>
    <xf numFmtId="0" fontId="8" fillId="41" borderId="22" xfId="0" applyFont="1" applyFill="1" applyBorder="1" applyAlignment="1">
      <alignment horizontal="center" vertical="top" wrapText="1"/>
    </xf>
    <xf numFmtId="0" fontId="8" fillId="41" borderId="23" xfId="0" applyFont="1" applyFill="1" applyBorder="1" applyAlignment="1">
      <alignment horizontal="center" vertical="top" wrapText="1"/>
    </xf>
    <xf numFmtId="0" fontId="12" fillId="44" borderId="24" xfId="0" applyFont="1" applyFill="1" applyBorder="1" applyAlignment="1">
      <alignment horizontal="center" vertical="top" wrapText="1"/>
    </xf>
    <xf numFmtId="0" fontId="7" fillId="0" borderId="25" xfId="0" applyFont="1" applyBorder="1" applyAlignment="1">
      <alignment horizontal="center"/>
    </xf>
    <xf numFmtId="0" fontId="12" fillId="44" borderId="26" xfId="0" applyFont="1" applyFill="1" applyBorder="1" applyAlignment="1">
      <alignment horizontal="center" vertical="top" wrapText="1"/>
    </xf>
    <xf numFmtId="2" fontId="3" fillId="0" borderId="10" xfId="0" applyNumberFormat="1" applyFont="1" applyFill="1" applyBorder="1" applyAlignment="1" applyProtection="1">
      <alignment/>
      <protection locked="0"/>
    </xf>
    <xf numFmtId="0" fontId="2" fillId="35" borderId="11" xfId="0" applyFont="1" applyFill="1" applyBorder="1" applyAlignment="1">
      <alignment/>
    </xf>
    <xf numFmtId="189" fontId="2" fillId="35" borderId="11" xfId="0" applyNumberFormat="1" applyFont="1" applyFill="1" applyBorder="1" applyAlignment="1">
      <alignment/>
    </xf>
    <xf numFmtId="196" fontId="3" fillId="36" borderId="15" xfId="0" applyNumberFormat="1" applyFont="1" applyFill="1" applyBorder="1" applyAlignment="1">
      <alignment horizontal="right" wrapText="1"/>
    </xf>
    <xf numFmtId="196" fontId="3" fillId="36" borderId="12" xfId="0" applyNumberFormat="1" applyFont="1" applyFill="1" applyBorder="1" applyAlignment="1">
      <alignment horizontal="right" wrapText="1"/>
    </xf>
    <xf numFmtId="196" fontId="2" fillId="33" borderId="19" xfId="0" applyNumberFormat="1" applyFont="1" applyFill="1" applyBorder="1" applyAlignment="1" applyProtection="1">
      <alignment horizontal="right"/>
      <protection hidden="1"/>
    </xf>
    <xf numFmtId="196" fontId="2" fillId="43" borderId="19" xfId="0" applyNumberFormat="1" applyFont="1" applyFill="1" applyBorder="1" applyAlignment="1" applyProtection="1">
      <alignment horizontal="right"/>
      <protection hidden="1"/>
    </xf>
    <xf numFmtId="197" fontId="0" fillId="0" borderId="0" xfId="0" applyNumberFormat="1" applyAlignment="1">
      <alignment/>
    </xf>
    <xf numFmtId="0" fontId="7" fillId="0" borderId="27" xfId="0" applyFont="1" applyBorder="1" applyAlignment="1">
      <alignment/>
    </xf>
    <xf numFmtId="0" fontId="2" fillId="0" borderId="27" xfId="0" applyFont="1" applyBorder="1" applyAlignment="1">
      <alignment/>
    </xf>
    <xf numFmtId="180" fontId="0" fillId="0" borderId="0" xfId="0" applyNumberFormat="1" applyAlignment="1">
      <alignment/>
    </xf>
    <xf numFmtId="0" fontId="0" fillId="0" borderId="0" xfId="0" applyAlignment="1">
      <alignment horizontal="center"/>
    </xf>
    <xf numFmtId="0" fontId="0" fillId="0" borderId="0" xfId="0" applyAlignment="1">
      <alignment horizontal="left"/>
    </xf>
    <xf numFmtId="180" fontId="0" fillId="0" borderId="0" xfId="0" applyNumberFormat="1" applyAlignment="1">
      <alignment horizontal="center"/>
    </xf>
    <xf numFmtId="0" fontId="0" fillId="0" borderId="25" xfId="0" applyBorder="1" applyAlignment="1">
      <alignment/>
    </xf>
    <xf numFmtId="180" fontId="22" fillId="0" borderId="0" xfId="0" applyNumberFormat="1" applyFont="1" applyAlignment="1">
      <alignment horizontal="center"/>
    </xf>
    <xf numFmtId="0" fontId="22" fillId="0" borderId="0" xfId="0" applyFont="1" applyAlignment="1">
      <alignment horizontal="center"/>
    </xf>
    <xf numFmtId="0" fontId="0" fillId="0" borderId="0" xfId="0" applyAlignment="1">
      <alignment/>
    </xf>
    <xf numFmtId="0" fontId="2" fillId="0" borderId="0" xfId="0" applyFont="1" applyAlignment="1">
      <alignment horizontal="left"/>
    </xf>
    <xf numFmtId="0" fontId="2" fillId="0" borderId="0" xfId="0" applyFont="1" applyFill="1" applyBorder="1" applyAlignment="1">
      <alignment horizontal="left" vertical="center" wrapText="1"/>
    </xf>
    <xf numFmtId="198" fontId="3" fillId="36" borderId="28" xfId="0" applyNumberFormat="1" applyFont="1" applyFill="1" applyBorder="1" applyAlignment="1">
      <alignment horizontal="left" wrapText="1"/>
    </xf>
    <xf numFmtId="198" fontId="3" fillId="0" borderId="0" xfId="0" applyNumberFormat="1" applyFont="1" applyFill="1" applyBorder="1" applyAlignment="1">
      <alignment horizontal="left" wrapText="1"/>
    </xf>
    <xf numFmtId="0" fontId="1" fillId="0" borderId="0" xfId="0" applyFont="1" applyAlignment="1">
      <alignment/>
    </xf>
    <xf numFmtId="2" fontId="3" fillId="36" borderId="29" xfId="0" applyNumberFormat="1" applyFont="1" applyFill="1" applyBorder="1" applyAlignment="1">
      <alignment horizontal="right" wrapText="1"/>
    </xf>
    <xf numFmtId="0" fontId="2" fillId="0" borderId="0" xfId="0" applyFont="1" applyFill="1" applyBorder="1" applyAlignment="1" applyProtection="1">
      <alignment horizontal="left" vertical="center" wrapText="1"/>
      <protection hidden="1"/>
    </xf>
    <xf numFmtId="0" fontId="2" fillId="35" borderId="19" xfId="0" applyFont="1" applyFill="1" applyBorder="1" applyAlignment="1">
      <alignment horizontal="center" vertical="center" wrapText="1"/>
    </xf>
    <xf numFmtId="0" fontId="1" fillId="35" borderId="19" xfId="0" applyFont="1" applyFill="1" applyBorder="1" applyAlignment="1">
      <alignment horizontal="center"/>
    </xf>
    <xf numFmtId="168" fontId="3" fillId="0" borderId="12" xfId="0" applyNumberFormat="1" applyFont="1" applyFill="1" applyBorder="1" applyAlignment="1" applyProtection="1">
      <alignment horizontal="right" wrapText="1"/>
      <protection locked="0"/>
    </xf>
    <xf numFmtId="169" fontId="3" fillId="0" borderId="12" xfId="0" applyNumberFormat="1" applyFont="1" applyFill="1" applyBorder="1" applyAlignment="1" applyProtection="1">
      <alignment horizontal="right" wrapText="1"/>
      <protection locked="0"/>
    </xf>
    <xf numFmtId="167" fontId="3" fillId="0" borderId="12" xfId="0" applyNumberFormat="1" applyFont="1" applyFill="1" applyBorder="1" applyAlignment="1" applyProtection="1">
      <alignment horizontal="right" wrapText="1"/>
      <protection locked="0"/>
    </xf>
    <xf numFmtId="2" fontId="3" fillId="33" borderId="10" xfId="0" applyNumberFormat="1" applyFont="1" applyFill="1" applyBorder="1" applyAlignment="1" applyProtection="1">
      <alignment/>
      <protection/>
    </xf>
    <xf numFmtId="2" fontId="3" fillId="0" borderId="30" xfId="0" applyNumberFormat="1" applyFont="1" applyFill="1" applyBorder="1" applyAlignment="1" applyProtection="1">
      <alignment/>
      <protection/>
    </xf>
    <xf numFmtId="191" fontId="2" fillId="0" borderId="19" xfId="0" applyNumberFormat="1" applyFont="1" applyBorder="1" applyAlignment="1" applyProtection="1">
      <alignment horizontal="right"/>
      <protection locked="0"/>
    </xf>
    <xf numFmtId="196" fontId="2" fillId="0" borderId="19" xfId="0" applyNumberFormat="1" applyFont="1" applyBorder="1" applyAlignment="1" applyProtection="1">
      <alignment horizontal="right"/>
      <protection locked="0"/>
    </xf>
    <xf numFmtId="183" fontId="2" fillId="0" borderId="19" xfId="0" applyNumberFormat="1" applyFont="1" applyBorder="1" applyAlignment="1" applyProtection="1">
      <alignment horizontal="right"/>
      <protection locked="0"/>
    </xf>
    <xf numFmtId="178" fontId="2" fillId="0" borderId="19" xfId="0" applyNumberFormat="1" applyFont="1" applyBorder="1" applyAlignment="1" applyProtection="1">
      <alignment horizontal="right"/>
      <protection locked="0"/>
    </xf>
    <xf numFmtId="170" fontId="2" fillId="0" borderId="19" xfId="0" applyNumberFormat="1" applyFont="1" applyBorder="1" applyAlignment="1" applyProtection="1">
      <alignment horizontal="right"/>
      <protection locked="0"/>
    </xf>
    <xf numFmtId="169" fontId="2" fillId="0" borderId="19" xfId="0" applyNumberFormat="1" applyFont="1" applyBorder="1" applyAlignment="1" applyProtection="1">
      <alignment horizontal="right"/>
      <protection locked="0"/>
    </xf>
    <xf numFmtId="175" fontId="2" fillId="0" borderId="19" xfId="0" applyNumberFormat="1" applyFont="1" applyBorder="1" applyAlignment="1" applyProtection="1">
      <alignment horizontal="right"/>
      <protection locked="0"/>
    </xf>
    <xf numFmtId="173" fontId="2" fillId="0" borderId="19" xfId="0" applyNumberFormat="1" applyFont="1" applyBorder="1" applyAlignment="1" applyProtection="1">
      <alignment horizontal="right"/>
      <protection locked="0"/>
    </xf>
    <xf numFmtId="0" fontId="0" fillId="0" borderId="0" xfId="0" applyAlignment="1" applyProtection="1">
      <alignment/>
      <protection locked="0"/>
    </xf>
    <xf numFmtId="180" fontId="3" fillId="0" borderId="16" xfId="0" applyNumberFormat="1" applyFont="1" applyFill="1" applyBorder="1" applyAlignment="1" applyProtection="1">
      <alignment horizontal="right"/>
      <protection locked="0"/>
    </xf>
    <xf numFmtId="200" fontId="3" fillId="0" borderId="10" xfId="0" applyNumberFormat="1" applyFont="1" applyFill="1" applyBorder="1" applyAlignment="1" applyProtection="1">
      <alignment horizontal="right"/>
      <protection locked="0"/>
    </xf>
    <xf numFmtId="197" fontId="2" fillId="0" borderId="10" xfId="0" applyNumberFormat="1" applyFont="1" applyFill="1" applyBorder="1" applyAlignment="1" applyProtection="1">
      <alignment horizontal="right"/>
      <protection locked="0"/>
    </xf>
    <xf numFmtId="1" fontId="3" fillId="0" borderId="10" xfId="0" applyNumberFormat="1" applyFont="1" applyFill="1" applyBorder="1" applyAlignment="1" applyProtection="1">
      <alignment horizontal="right"/>
      <protection locked="0"/>
    </xf>
    <xf numFmtId="197" fontId="3" fillId="0" borderId="10" xfId="0" applyNumberFormat="1" applyFont="1" applyFill="1" applyBorder="1" applyAlignment="1" applyProtection="1">
      <alignment horizontal="right"/>
      <protection locked="0"/>
    </xf>
    <xf numFmtId="2" fontId="3" fillId="0" borderId="10" xfId="0" applyNumberFormat="1" applyFont="1" applyFill="1" applyBorder="1" applyAlignment="1" applyProtection="1">
      <alignment horizontal="right"/>
      <protection locked="0"/>
    </xf>
    <xf numFmtId="0" fontId="3" fillId="33" borderId="10" xfId="0" applyFont="1" applyFill="1" applyBorder="1" applyAlignment="1">
      <alignment horizontal="left" vertical="center" wrapText="1"/>
    </xf>
    <xf numFmtId="0" fontId="12" fillId="44" borderId="24" xfId="0" applyFont="1" applyFill="1" applyBorder="1" applyAlignment="1">
      <alignment horizontal="left" vertical="top" wrapText="1"/>
    </xf>
    <xf numFmtId="180" fontId="2" fillId="35" borderId="11" xfId="0" applyNumberFormat="1" applyFont="1" applyFill="1" applyBorder="1" applyAlignment="1">
      <alignment/>
    </xf>
    <xf numFmtId="0" fontId="3" fillId="35" borderId="11" xfId="0" applyFont="1" applyFill="1" applyBorder="1" applyAlignment="1">
      <alignment horizontal="left" vertical="center" wrapText="1"/>
    </xf>
    <xf numFmtId="204" fontId="3" fillId="0" borderId="10" xfId="0" applyNumberFormat="1" applyFont="1" applyFill="1" applyBorder="1" applyAlignment="1" applyProtection="1">
      <alignment horizontal="right"/>
      <protection locked="0"/>
    </xf>
    <xf numFmtId="204" fontId="2" fillId="35" borderId="11" xfId="0" applyNumberFormat="1" applyFont="1" applyFill="1" applyBorder="1" applyAlignment="1">
      <alignment/>
    </xf>
    <xf numFmtId="179" fontId="2" fillId="35" borderId="11" xfId="0" applyNumberFormat="1" applyFont="1" applyFill="1" applyBorder="1" applyAlignment="1">
      <alignment/>
    </xf>
    <xf numFmtId="174" fontId="2" fillId="35" borderId="11" xfId="0" applyNumberFormat="1" applyFont="1" applyFill="1" applyBorder="1" applyAlignment="1">
      <alignment/>
    </xf>
    <xf numFmtId="205" fontId="2" fillId="35" borderId="11" xfId="0" applyNumberFormat="1" applyFont="1" applyFill="1" applyBorder="1" applyAlignment="1">
      <alignment/>
    </xf>
    <xf numFmtId="206" fontId="2" fillId="35" borderId="11" xfId="0" applyNumberFormat="1" applyFont="1" applyFill="1" applyBorder="1" applyAlignment="1">
      <alignment/>
    </xf>
    <xf numFmtId="194" fontId="2" fillId="35" borderId="11" xfId="0" applyNumberFormat="1" applyFont="1" applyFill="1" applyBorder="1" applyAlignment="1">
      <alignment/>
    </xf>
    <xf numFmtId="180" fontId="3" fillId="35" borderId="11" xfId="0" applyNumberFormat="1" applyFont="1" applyFill="1" applyBorder="1" applyAlignment="1">
      <alignment horizontal="right" wrapText="1"/>
    </xf>
    <xf numFmtId="0" fontId="5" fillId="0" borderId="0" xfId="0" applyFont="1" applyAlignment="1">
      <alignment/>
    </xf>
    <xf numFmtId="0" fontId="3" fillId="35" borderId="11" xfId="0" applyFont="1" applyFill="1" applyBorder="1" applyAlignment="1">
      <alignment horizontal="justify" vertical="top" wrapText="1"/>
    </xf>
    <xf numFmtId="0" fontId="3" fillId="35" borderId="11" xfId="0" applyFont="1" applyFill="1" applyBorder="1" applyAlignment="1">
      <alignment vertical="center" wrapText="1"/>
    </xf>
    <xf numFmtId="0" fontId="23" fillId="35" borderId="11" xfId="0" applyFont="1" applyFill="1" applyBorder="1" applyAlignment="1">
      <alignment horizontal="justify" vertical="center" wrapText="1"/>
    </xf>
    <xf numFmtId="207" fontId="3" fillId="35" borderId="11" xfId="0" applyNumberFormat="1" applyFont="1" applyFill="1" applyBorder="1" applyAlignment="1">
      <alignment horizontal="right" wrapText="1"/>
    </xf>
    <xf numFmtId="0" fontId="3" fillId="35" borderId="11" xfId="0" applyFont="1" applyFill="1" applyBorder="1" applyAlignment="1">
      <alignment horizontal="right" vertical="top" wrapText="1"/>
    </xf>
    <xf numFmtId="0" fontId="3" fillId="37" borderId="15" xfId="0" applyFont="1" applyFill="1" applyBorder="1" applyAlignment="1">
      <alignment horizontal="left" vertical="center" wrapText="1"/>
    </xf>
    <xf numFmtId="211" fontId="3" fillId="0" borderId="12" xfId="0" applyNumberFormat="1" applyFont="1" applyFill="1" applyBorder="1" applyAlignment="1" applyProtection="1">
      <alignment horizontal="right" wrapText="1"/>
      <protection locked="0"/>
    </xf>
    <xf numFmtId="0" fontId="3" fillId="37" borderId="12" xfId="0" applyFont="1" applyFill="1" applyBorder="1" applyAlignment="1">
      <alignment horizontal="left" vertical="center" wrapText="1"/>
    </xf>
    <xf numFmtId="0" fontId="25" fillId="37" borderId="12" xfId="0" applyFont="1" applyFill="1" applyBorder="1" applyAlignment="1">
      <alignment horizontal="justify" vertical="center" wrapText="1"/>
    </xf>
    <xf numFmtId="212" fontId="3" fillId="0" borderId="12" xfId="0" applyNumberFormat="1" applyFont="1" applyFill="1" applyBorder="1" applyAlignment="1" applyProtection="1">
      <alignment horizontal="right" wrapText="1"/>
      <protection locked="0"/>
    </xf>
    <xf numFmtId="1" fontId="3" fillId="36" borderId="12" xfId="0" applyNumberFormat="1" applyFont="1" applyFill="1" applyBorder="1" applyAlignment="1">
      <alignment horizontal="right" wrapText="1"/>
    </xf>
    <xf numFmtId="207" fontId="3" fillId="0" borderId="12" xfId="0" applyNumberFormat="1" applyFont="1" applyFill="1" applyBorder="1" applyAlignment="1" applyProtection="1">
      <alignment horizontal="right" wrapText="1"/>
      <protection locked="0"/>
    </xf>
    <xf numFmtId="0" fontId="3" fillId="33" borderId="16" xfId="0" applyFont="1" applyFill="1" applyBorder="1" applyAlignment="1">
      <alignment horizontal="left" vertical="center" wrapText="1"/>
    </xf>
    <xf numFmtId="176" fontId="2" fillId="0" borderId="11" xfId="0" applyNumberFormat="1" applyFont="1" applyFill="1" applyBorder="1" applyAlignment="1">
      <alignment/>
    </xf>
    <xf numFmtId="2" fontId="3" fillId="0" borderId="0" xfId="0" applyNumberFormat="1" applyFont="1" applyFill="1" applyBorder="1" applyAlignment="1" applyProtection="1">
      <alignment/>
      <protection/>
    </xf>
    <xf numFmtId="11" fontId="3" fillId="45" borderId="10" xfId="0" applyNumberFormat="1" applyFont="1" applyFill="1" applyBorder="1" applyAlignment="1" applyProtection="1">
      <alignment horizontal="right"/>
      <protection/>
    </xf>
    <xf numFmtId="0" fontId="2" fillId="33" borderId="10" xfId="0" applyFont="1" applyFill="1" applyBorder="1" applyAlignment="1" applyProtection="1">
      <alignment vertical="center"/>
      <protection/>
    </xf>
    <xf numFmtId="0" fontId="7" fillId="33" borderId="10" xfId="0" applyFont="1" applyFill="1" applyBorder="1" applyAlignment="1" applyProtection="1">
      <alignment/>
      <protection/>
    </xf>
    <xf numFmtId="0" fontId="2" fillId="33" borderId="10" xfId="0" applyFont="1" applyFill="1" applyBorder="1" applyAlignment="1" applyProtection="1">
      <alignment/>
      <protection/>
    </xf>
    <xf numFmtId="201" fontId="3" fillId="45" borderId="10" xfId="0" applyNumberFormat="1" applyFont="1" applyFill="1" applyBorder="1" applyAlignment="1" applyProtection="1">
      <alignment horizontal="right"/>
      <protection/>
    </xf>
    <xf numFmtId="0" fontId="3" fillId="0" borderId="11" xfId="0" applyFont="1" applyFill="1" applyBorder="1" applyAlignment="1" applyProtection="1">
      <alignment horizontal="justify" vertical="center" wrapText="1"/>
      <protection locked="0"/>
    </xf>
    <xf numFmtId="0" fontId="3" fillId="37" borderId="12" xfId="0" applyFont="1" applyFill="1" applyBorder="1" applyAlignment="1" applyProtection="1">
      <alignment horizontal="justify" vertical="center" wrapText="1"/>
      <protection/>
    </xf>
    <xf numFmtId="0" fontId="25" fillId="37" borderId="12" xfId="0" applyFont="1" applyFill="1" applyBorder="1" applyAlignment="1" applyProtection="1">
      <alignment horizontal="justify" vertical="center" wrapText="1"/>
      <protection/>
    </xf>
    <xf numFmtId="206" fontId="3" fillId="36" borderId="12" xfId="0" applyNumberFormat="1" applyFont="1" applyFill="1" applyBorder="1" applyAlignment="1" applyProtection="1">
      <alignment horizontal="right" wrapText="1"/>
      <protection/>
    </xf>
    <xf numFmtId="0" fontId="7" fillId="34" borderId="12" xfId="0" applyFont="1" applyFill="1" applyBorder="1" applyAlignment="1" applyProtection="1">
      <alignment/>
      <protection/>
    </xf>
    <xf numFmtId="0" fontId="3" fillId="37" borderId="12" xfId="0" applyFont="1" applyFill="1" applyBorder="1" applyAlignment="1" applyProtection="1">
      <alignment horizontal="left" vertical="center" wrapText="1"/>
      <protection/>
    </xf>
    <xf numFmtId="213" fontId="3" fillId="36" borderId="12" xfId="0" applyNumberFormat="1" applyFont="1" applyFill="1" applyBorder="1" applyAlignment="1" applyProtection="1">
      <alignment horizontal="right" wrapText="1"/>
      <protection/>
    </xf>
    <xf numFmtId="0" fontId="7" fillId="0" borderId="0" xfId="0" applyFont="1" applyAlignment="1" applyProtection="1">
      <alignment/>
      <protection/>
    </xf>
    <xf numFmtId="1" fontId="3" fillId="36" borderId="12" xfId="0" applyNumberFormat="1" applyFont="1" applyFill="1" applyBorder="1" applyAlignment="1" applyProtection="1">
      <alignment horizontal="right" wrapText="1"/>
      <protection/>
    </xf>
    <xf numFmtId="214" fontId="3" fillId="36" borderId="12" xfId="0" applyNumberFormat="1" applyFont="1" applyFill="1" applyBorder="1" applyAlignment="1" applyProtection="1">
      <alignment horizontal="right" wrapText="1"/>
      <protection/>
    </xf>
    <xf numFmtId="0" fontId="8" fillId="41" borderId="31" xfId="0" applyFont="1" applyFill="1" applyBorder="1" applyAlignment="1" applyProtection="1">
      <alignment horizontal="left" vertical="top" wrapText="1"/>
      <protection/>
    </xf>
    <xf numFmtId="0" fontId="8" fillId="41" borderId="32" xfId="0" applyFont="1" applyFill="1" applyBorder="1" applyAlignment="1" applyProtection="1">
      <alignment horizontal="center" vertical="top" wrapText="1"/>
      <protection/>
    </xf>
    <xf numFmtId="0" fontId="3" fillId="37" borderId="15" xfId="0" applyFont="1" applyFill="1" applyBorder="1" applyAlignment="1" applyProtection="1">
      <alignment horizontal="left" vertical="center" wrapText="1"/>
      <protection/>
    </xf>
    <xf numFmtId="0" fontId="3" fillId="37" borderId="15" xfId="0" applyFont="1" applyFill="1" applyBorder="1" applyAlignment="1" applyProtection="1">
      <alignment horizontal="justify" vertical="center" wrapText="1"/>
      <protection/>
    </xf>
    <xf numFmtId="170" fontId="3" fillId="46" borderId="12" xfId="0" applyNumberFormat="1" applyFont="1" applyFill="1" applyBorder="1" applyAlignment="1" applyProtection="1">
      <alignment horizontal="right" wrapText="1"/>
      <protection/>
    </xf>
    <xf numFmtId="0" fontId="7" fillId="34" borderId="15" xfId="0" applyFont="1" applyFill="1" applyBorder="1" applyAlignment="1" applyProtection="1">
      <alignment/>
      <protection/>
    </xf>
    <xf numFmtId="172" fontId="3" fillId="46" borderId="12" xfId="0" applyNumberFormat="1" applyFont="1" applyFill="1" applyBorder="1" applyAlignment="1" applyProtection="1">
      <alignment horizontal="right"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justify" vertical="center" wrapText="1"/>
      <protection/>
    </xf>
    <xf numFmtId="170" fontId="3" fillId="0" borderId="0" xfId="0" applyNumberFormat="1" applyFont="1" applyFill="1" applyBorder="1" applyAlignment="1" applyProtection="1">
      <alignment horizontal="right" wrapText="1"/>
      <protection/>
    </xf>
    <xf numFmtId="0" fontId="7" fillId="0" borderId="0" xfId="0" applyFont="1" applyFill="1" applyBorder="1" applyAlignment="1" applyProtection="1">
      <alignment/>
      <protection/>
    </xf>
    <xf numFmtId="172" fontId="3" fillId="0" borderId="0" xfId="0" applyNumberFormat="1" applyFont="1" applyFill="1" applyBorder="1" applyAlignment="1" applyProtection="1">
      <alignment horizontal="right" wrapText="1"/>
      <protection/>
    </xf>
    <xf numFmtId="0" fontId="2" fillId="0" borderId="0" xfId="0" applyFont="1" applyAlignment="1" applyProtection="1">
      <alignment/>
      <protection/>
    </xf>
    <xf numFmtId="203" fontId="3" fillId="0" borderId="11" xfId="0" applyNumberFormat="1" applyFont="1" applyFill="1" applyBorder="1" applyAlignment="1" applyProtection="1">
      <alignment horizontal="right" wrapText="1"/>
      <protection locked="0"/>
    </xf>
    <xf numFmtId="202" fontId="3" fillId="0" borderId="11" xfId="0" applyNumberFormat="1" applyFont="1" applyFill="1" applyBorder="1" applyAlignment="1" applyProtection="1">
      <alignment horizontal="right" wrapText="1"/>
      <protection locked="0"/>
    </xf>
    <xf numFmtId="0" fontId="0" fillId="0" borderId="19" xfId="0" applyBorder="1" applyAlignment="1">
      <alignment horizontal="center"/>
    </xf>
    <xf numFmtId="0" fontId="2" fillId="0" borderId="25" xfId="0" applyFont="1" applyBorder="1" applyAlignment="1">
      <alignment horizontal="center"/>
    </xf>
    <xf numFmtId="0" fontId="14" fillId="0" borderId="0" xfId="0" applyFont="1" applyBorder="1" applyAlignment="1">
      <alignment horizontal="center" vertical="center"/>
    </xf>
    <xf numFmtId="0" fontId="2" fillId="0" borderId="33" xfId="0" applyFont="1" applyBorder="1" applyAlignment="1">
      <alignment vertical="center" wrapText="1"/>
    </xf>
    <xf numFmtId="0" fontId="2" fillId="0" borderId="34" xfId="0" applyFont="1" applyBorder="1" applyAlignment="1">
      <alignment vertical="center" wrapText="1"/>
    </xf>
    <xf numFmtId="0" fontId="2" fillId="0" borderId="35" xfId="0" applyFont="1" applyBorder="1" applyAlignment="1">
      <alignment vertical="center" wrapText="1"/>
    </xf>
    <xf numFmtId="0" fontId="2" fillId="0" borderId="36" xfId="0" applyFont="1" applyBorder="1" applyAlignment="1">
      <alignment vertical="center" wrapText="1"/>
    </xf>
    <xf numFmtId="0" fontId="2" fillId="0" borderId="0" xfId="0" applyFont="1" applyAlignment="1">
      <alignment horizontal="left"/>
    </xf>
    <xf numFmtId="0" fontId="7" fillId="35" borderId="19" xfId="0" applyFont="1" applyFill="1" applyBorder="1" applyAlignment="1">
      <alignment horizontal="center" vertical="center" wrapText="1"/>
    </xf>
    <xf numFmtId="0" fontId="0" fillId="35" borderId="19" xfId="0" applyFont="1" applyFill="1" applyBorder="1" applyAlignment="1">
      <alignment horizontal="center" vertical="center"/>
    </xf>
    <xf numFmtId="0" fontId="1" fillId="0" borderId="19" xfId="0" applyFont="1" applyFill="1" applyBorder="1" applyAlignment="1" applyProtection="1">
      <alignment horizontal="center"/>
      <protection locked="0"/>
    </xf>
    <xf numFmtId="0" fontId="0" fillId="0" borderId="19" xfId="0" applyFill="1" applyBorder="1" applyAlignment="1" applyProtection="1">
      <alignment horizontal="center"/>
      <protection locked="0"/>
    </xf>
    <xf numFmtId="199" fontId="1" fillId="0" borderId="19" xfId="0" applyNumberFormat="1" applyFont="1" applyFill="1" applyBorder="1" applyAlignment="1" applyProtection="1">
      <alignment horizontal="center"/>
      <protection locked="0"/>
    </xf>
    <xf numFmtId="199" fontId="0" fillId="0" borderId="19" xfId="0" applyNumberFormat="1" applyFill="1" applyBorder="1" applyAlignment="1" applyProtection="1">
      <alignment horizontal="center"/>
      <protection locked="0"/>
    </xf>
    <xf numFmtId="0" fontId="15" fillId="0" borderId="0" xfId="0" applyFont="1" applyAlignment="1">
      <alignment horizontal="right"/>
    </xf>
    <xf numFmtId="0" fontId="12" fillId="47" borderId="37" xfId="0" applyFont="1" applyFill="1" applyBorder="1" applyAlignment="1">
      <alignment horizontal="center"/>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5" fillId="0" borderId="38" xfId="0" applyFont="1" applyBorder="1" applyAlignment="1">
      <alignment horizontal="left"/>
    </xf>
    <xf numFmtId="0" fontId="2" fillId="0" borderId="38" xfId="0" applyFont="1" applyBorder="1" applyAlignment="1">
      <alignment horizontal="left"/>
    </xf>
    <xf numFmtId="0" fontId="2" fillId="0" borderId="34" xfId="0" applyFont="1" applyFill="1" applyBorder="1" applyAlignment="1" applyProtection="1">
      <alignment horizontal="left" vertical="center" wrapText="1"/>
      <protection hidden="1"/>
    </xf>
    <xf numFmtId="0" fontId="2" fillId="0" borderId="35" xfId="0" applyFont="1" applyFill="1" applyBorder="1" applyAlignment="1" applyProtection="1">
      <alignment horizontal="left" vertical="center" wrapText="1"/>
      <protection hidden="1"/>
    </xf>
    <xf numFmtId="0" fontId="2" fillId="0" borderId="36" xfId="0" applyFont="1" applyFill="1" applyBorder="1" applyAlignment="1" applyProtection="1">
      <alignment horizontal="left" vertical="center" wrapText="1"/>
      <protection hidden="1"/>
    </xf>
    <xf numFmtId="0" fontId="1" fillId="35" borderId="19" xfId="0" applyFont="1" applyFill="1" applyBorder="1" applyAlignment="1">
      <alignment horizontal="center"/>
    </xf>
    <xf numFmtId="0" fontId="0" fillId="35" borderId="19" xfId="0" applyFill="1" applyBorder="1" applyAlignment="1">
      <alignment horizontal="center"/>
    </xf>
    <xf numFmtId="199" fontId="1" fillId="35" borderId="19" xfId="0" applyNumberFormat="1" applyFont="1" applyFill="1" applyBorder="1" applyAlignment="1">
      <alignment horizontal="center"/>
    </xf>
    <xf numFmtId="199" fontId="0" fillId="35" borderId="19" xfId="0" applyNumberFormat="1" applyFill="1" applyBorder="1" applyAlignment="1">
      <alignment horizontal="center"/>
    </xf>
    <xf numFmtId="0" fontId="2" fillId="0" borderId="25" xfId="0" applyFont="1" applyBorder="1" applyAlignment="1" applyProtection="1">
      <alignment horizontal="center"/>
      <protection hidden="1"/>
    </xf>
    <xf numFmtId="0" fontId="2" fillId="35" borderId="19" xfId="0" applyFont="1" applyFill="1" applyBorder="1" applyAlignment="1">
      <alignment horizontal="center" vertical="center" wrapText="1"/>
    </xf>
    <xf numFmtId="0" fontId="15" fillId="0" borderId="0" xfId="0" applyFont="1" applyAlignment="1" applyProtection="1">
      <alignment horizontal="right"/>
      <protection hidden="1"/>
    </xf>
    <xf numFmtId="0" fontId="14" fillId="0" borderId="0" xfId="0" applyFont="1" applyBorder="1" applyAlignment="1" applyProtection="1">
      <alignment horizontal="center" vertical="center"/>
      <protection hidden="1"/>
    </xf>
    <xf numFmtId="0" fontId="18" fillId="47" borderId="19" xfId="0" applyFont="1" applyFill="1" applyBorder="1" applyAlignment="1" applyProtection="1">
      <alignment horizontal="left" vertical="center"/>
      <protection hidden="1"/>
    </xf>
    <xf numFmtId="0" fontId="18" fillId="47" borderId="39" xfId="0" applyFont="1" applyFill="1" applyBorder="1" applyAlignment="1" applyProtection="1">
      <alignment horizontal="left" vertical="center"/>
      <protection hidden="1"/>
    </xf>
    <xf numFmtId="0" fontId="18" fillId="47" borderId="25" xfId="0" applyFont="1" applyFill="1" applyBorder="1" applyAlignment="1" applyProtection="1">
      <alignment horizontal="left" vertical="center"/>
      <protection hidden="1"/>
    </xf>
    <xf numFmtId="0" fontId="18" fillId="47" borderId="40" xfId="0" applyFont="1" applyFill="1" applyBorder="1" applyAlignment="1" applyProtection="1">
      <alignment horizontal="left" vertical="center"/>
      <protection hidden="1"/>
    </xf>
    <xf numFmtId="0" fontId="18" fillId="47" borderId="41" xfId="0" applyFont="1" applyFill="1" applyBorder="1" applyAlignment="1" applyProtection="1">
      <alignment horizontal="left" vertical="center"/>
      <protection hidden="1"/>
    </xf>
    <xf numFmtId="0" fontId="18" fillId="47" borderId="42" xfId="0" applyFont="1" applyFill="1" applyBorder="1" applyAlignment="1" applyProtection="1">
      <alignment horizontal="left" vertical="center"/>
      <protection hidden="1"/>
    </xf>
    <xf numFmtId="0" fontId="18" fillId="47" borderId="43" xfId="0" applyFont="1" applyFill="1" applyBorder="1" applyAlignment="1" applyProtection="1">
      <alignment horizontal="left" vertical="center"/>
      <protection hidden="1"/>
    </xf>
    <xf numFmtId="0" fontId="5" fillId="0" borderId="38" xfId="0" applyFont="1" applyBorder="1" applyAlignment="1" applyProtection="1">
      <alignment horizontal="left" vertical="center" wrapText="1"/>
      <protection hidden="1"/>
    </xf>
    <xf numFmtId="0" fontId="26" fillId="0" borderId="0" xfId="0" applyFont="1" applyBorder="1" applyAlignment="1">
      <alignment horizontal="center" vertical="center"/>
    </xf>
    <xf numFmtId="0" fontId="8" fillId="41" borderId="20" xfId="0" applyFont="1" applyFill="1" applyBorder="1" applyAlignment="1">
      <alignment horizontal="center" vertical="top" wrapText="1"/>
    </xf>
    <xf numFmtId="0" fontId="3" fillId="37" borderId="20" xfId="0" applyFont="1" applyFill="1" applyBorder="1" applyAlignment="1">
      <alignment horizontal="justify" vertical="center" wrapText="1"/>
    </xf>
    <xf numFmtId="0" fontId="0" fillId="0" borderId="20" xfId="0" applyBorder="1" applyAlignment="1">
      <alignment wrapText="1"/>
    </xf>
    <xf numFmtId="0" fontId="2" fillId="33" borderId="44" xfId="0" applyFont="1" applyFill="1" applyBorder="1" applyAlignment="1">
      <alignment/>
    </xf>
    <xf numFmtId="0" fontId="0" fillId="0" borderId="30" xfId="0" applyBorder="1" applyAlignment="1">
      <alignment/>
    </xf>
    <xf numFmtId="0" fontId="12" fillId="47" borderId="45" xfId="0" applyFont="1" applyFill="1" applyBorder="1" applyAlignment="1">
      <alignment horizontal="left"/>
    </xf>
    <xf numFmtId="0" fontId="12" fillId="47" borderId="23" xfId="0" applyFont="1" applyFill="1" applyBorder="1" applyAlignment="1">
      <alignment horizontal="left"/>
    </xf>
    <xf numFmtId="0" fontId="12" fillId="47" borderId="46" xfId="0" applyFont="1" applyFill="1" applyBorder="1" applyAlignment="1">
      <alignment horizontal="left"/>
    </xf>
    <xf numFmtId="0" fontId="12" fillId="44" borderId="47" xfId="0" applyFont="1" applyFill="1" applyBorder="1" applyAlignment="1">
      <alignment horizontal="left" vertical="top" wrapText="1"/>
    </xf>
    <xf numFmtId="0" fontId="12" fillId="44" borderId="48" xfId="0" applyFont="1" applyFill="1" applyBorder="1" applyAlignment="1">
      <alignment horizontal="left" vertical="top" wrapText="1"/>
    </xf>
    <xf numFmtId="0" fontId="12" fillId="44" borderId="49" xfId="0" applyFont="1" applyFill="1" applyBorder="1" applyAlignment="1">
      <alignment horizontal="left" vertical="top" wrapText="1"/>
    </xf>
    <xf numFmtId="0" fontId="8" fillId="41" borderId="31" xfId="0" applyFont="1" applyFill="1" applyBorder="1" applyAlignment="1">
      <alignment horizontal="left" vertical="top" wrapText="1"/>
    </xf>
    <xf numFmtId="0" fontId="8" fillId="41" borderId="32" xfId="0" applyFont="1" applyFill="1" applyBorder="1" applyAlignment="1">
      <alignment horizontal="left" vertical="top" wrapText="1"/>
    </xf>
    <xf numFmtId="0" fontId="0" fillId="0" borderId="0" xfId="0" applyAlignment="1">
      <alignment/>
    </xf>
    <xf numFmtId="197" fontId="3" fillId="0" borderId="44" xfId="0" applyNumberFormat="1" applyFont="1" applyFill="1" applyBorder="1" applyAlignment="1" applyProtection="1">
      <alignment/>
      <protection hidden="1"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7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9"/>
      </font>
      <fill>
        <patternFill>
          <bgColor indexed="10"/>
        </patternFill>
      </fill>
    </dxf>
    <dxf>
      <font>
        <color indexed="9"/>
      </font>
      <fill>
        <patternFill>
          <bgColor indexed="10"/>
        </patternFill>
      </fill>
    </dxf>
    <dxf>
      <font>
        <b/>
        <i val="0"/>
        <color indexed="10"/>
      </font>
      <fill>
        <patternFill>
          <bgColor indexed="47"/>
        </patternFill>
      </fill>
    </dxf>
    <dxf>
      <font>
        <color indexed="9"/>
      </font>
      <fill>
        <patternFill>
          <bgColor indexed="10"/>
        </patternFill>
      </fill>
    </dxf>
    <dxf>
      <font>
        <b/>
        <i val="0"/>
        <color indexed="10"/>
      </font>
      <fill>
        <patternFill>
          <bgColor indexed="47"/>
        </patternFill>
      </fill>
    </dxf>
    <dxf>
      <font>
        <color indexed="9"/>
      </font>
      <fill>
        <patternFill>
          <bgColor indexed="10"/>
        </patternFill>
      </fill>
    </dxf>
    <dxf>
      <font>
        <b/>
        <i val="0"/>
        <color indexed="10"/>
      </font>
      <fill>
        <patternFill>
          <bgColor indexed="47"/>
        </patternFill>
      </fill>
    </dxf>
    <dxf>
      <font>
        <color indexed="9"/>
      </font>
      <fill>
        <patternFill>
          <bgColor indexed="10"/>
        </patternFill>
      </fill>
    </dxf>
    <dxf>
      <font>
        <b/>
        <i val="0"/>
        <color indexed="10"/>
      </font>
      <fill>
        <patternFill>
          <bgColor indexed="47"/>
        </patternFill>
      </fill>
    </dxf>
    <dxf>
      <font>
        <color indexed="9"/>
      </font>
      <fill>
        <patternFill>
          <bgColor indexed="10"/>
        </patternFill>
      </fill>
    </dxf>
    <dxf>
      <font>
        <b/>
        <i val="0"/>
        <color indexed="10"/>
      </font>
      <fill>
        <patternFill>
          <bgColor indexed="47"/>
        </patternFill>
      </fill>
    </dxf>
    <dxf>
      <font>
        <color indexed="9"/>
      </font>
      <fill>
        <patternFill>
          <bgColor indexed="10"/>
        </patternFill>
      </fill>
    </dxf>
    <dxf>
      <font>
        <b/>
        <i val="0"/>
        <color indexed="10"/>
      </font>
      <fill>
        <patternFill>
          <bgColor indexed="47"/>
        </patternFill>
      </fill>
    </dxf>
    <dxf>
      <font>
        <color indexed="9"/>
      </font>
      <fill>
        <patternFill>
          <bgColor indexed="10"/>
        </patternFill>
      </fill>
    </dxf>
    <dxf>
      <font>
        <b/>
        <i val="0"/>
        <color indexed="10"/>
      </font>
      <fill>
        <patternFill>
          <bgColor indexed="47"/>
        </patternFill>
      </fill>
    </dxf>
    <dxf>
      <font>
        <color indexed="9"/>
      </font>
      <fill>
        <patternFill>
          <bgColor indexed="10"/>
        </patternFill>
      </fill>
    </dxf>
    <dxf>
      <font>
        <b/>
        <i val="0"/>
        <color indexed="10"/>
      </font>
      <fill>
        <patternFill>
          <bgColor indexed="47"/>
        </patternFill>
      </fill>
    </dxf>
    <dxf>
      <font>
        <color indexed="9"/>
      </font>
      <fill>
        <patternFill>
          <bgColor indexed="10"/>
        </patternFill>
      </fill>
    </dxf>
    <dxf>
      <font>
        <b/>
        <i val="0"/>
        <color indexed="10"/>
      </font>
      <fill>
        <patternFill>
          <bgColor indexed="47"/>
        </patternFill>
      </fill>
    </dxf>
    <dxf>
      <font>
        <color indexed="9"/>
      </font>
      <fill>
        <patternFill>
          <bgColor indexed="10"/>
        </patternFill>
      </fill>
    </dxf>
    <dxf>
      <font>
        <b/>
        <i val="0"/>
        <color indexed="10"/>
      </font>
      <fill>
        <patternFill>
          <bgColor indexed="47"/>
        </patternFill>
      </fill>
    </dxf>
    <dxf>
      <font>
        <color indexed="9"/>
      </font>
      <fill>
        <patternFill>
          <bgColor indexed="10"/>
        </patternFill>
      </fill>
    </dxf>
    <dxf>
      <font>
        <b/>
        <i val="0"/>
        <color indexed="10"/>
      </font>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b/>
        <i val="0"/>
        <color indexed="10"/>
      </font>
    </dxf>
    <dxf>
      <font>
        <color indexed="9"/>
      </font>
      <fill>
        <patternFill>
          <bgColor indexed="10"/>
        </patternFill>
      </fill>
    </dxf>
    <dxf>
      <font>
        <b/>
        <i val="0"/>
        <color indexed="10"/>
      </font>
      <fill>
        <patternFill patternType="solid">
          <bgColor indexed="47"/>
        </patternFill>
      </fill>
    </dxf>
    <dxf>
      <font>
        <color indexed="9"/>
      </font>
      <fill>
        <patternFill>
          <bgColor indexed="10"/>
        </patternFill>
      </fill>
    </dxf>
    <dxf>
      <font>
        <b/>
        <i val="0"/>
        <color indexed="10"/>
      </font>
      <fill>
        <patternFill>
          <bgColor indexed="47"/>
        </patternFill>
      </fill>
    </dxf>
    <dxf>
      <font>
        <color indexed="9"/>
      </font>
      <fill>
        <patternFill>
          <bgColor indexed="10"/>
        </patternFill>
      </fill>
    </dxf>
    <dxf>
      <font>
        <b/>
        <i val="0"/>
        <color indexed="10"/>
      </font>
    </dxf>
    <dxf>
      <font>
        <color indexed="9"/>
      </font>
      <fill>
        <patternFill>
          <bgColor indexed="10"/>
        </patternFill>
      </fill>
    </dxf>
    <dxf>
      <font>
        <b/>
        <i val="0"/>
        <color indexed="10"/>
      </font>
      <fill>
        <patternFill>
          <bgColor indexed="47"/>
        </patternFill>
      </fill>
    </dxf>
    <dxf>
      <font>
        <name val="Cambria"/>
        <color theme="0"/>
      </font>
      <fill>
        <patternFill>
          <bgColor indexed="10"/>
        </patternFill>
      </fill>
    </dxf>
    <dxf>
      <font>
        <name val="Cambria"/>
        <color theme="0"/>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9"/>
      </font>
      <fill>
        <patternFill>
          <bgColor indexed="10"/>
        </patternFill>
      </fill>
    </dxf>
    <dxf>
      <font>
        <color indexed="10"/>
      </font>
    </dxf>
    <dxf>
      <font>
        <b/>
        <i val="0"/>
        <color indexed="10"/>
      </font>
      <fill>
        <patternFill>
          <bgColor indexed="47"/>
        </patternFill>
      </fill>
    </dxf>
    <dxf>
      <font>
        <color indexed="9"/>
      </font>
      <fill>
        <patternFill>
          <bgColor indexed="10"/>
        </patternFill>
      </fill>
    </dxf>
    <dxf>
      <font>
        <b/>
        <i val="0"/>
        <color indexed="10"/>
      </font>
      <fill>
        <patternFill>
          <bgColor indexed="47"/>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9"/>
      </font>
      <fill>
        <patternFill patternType="solid">
          <bgColor indexed="10"/>
        </patternFill>
      </fill>
    </dxf>
    <dxf>
      <font>
        <color indexed="9"/>
      </font>
      <fill>
        <patternFill patternType="solid">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10"/>
      </font>
    </dxf>
    <dxf>
      <font>
        <color indexed="10"/>
      </font>
    </dxf>
    <dxf>
      <font>
        <color indexed="10"/>
      </font>
      <fill>
        <patternFill patternType="none">
          <bgColor indexed="65"/>
        </patternFill>
      </fill>
    </dxf>
    <dxf>
      <font>
        <color indexed="10"/>
      </font>
    </dxf>
    <dxf>
      <font>
        <color indexed="10"/>
      </font>
    </dxf>
    <dxf>
      <font>
        <color indexed="10"/>
      </font>
    </dxf>
    <dxf>
      <font>
        <color indexed="10"/>
      </font>
      <fill>
        <patternFill patternType="none">
          <bgColor indexed="65"/>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9"/>
      </font>
      <fill>
        <patternFill>
          <bgColor indexed="10"/>
        </patternFill>
      </fill>
    </dxf>
    <dxf>
      <font>
        <color indexed="9"/>
      </font>
      <fill>
        <patternFill>
          <bgColor indexed="10"/>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10"/>
      </font>
    </dxf>
    <dxf>
      <font>
        <color indexed="10"/>
      </font>
    </dxf>
    <dxf>
      <font>
        <color indexed="10"/>
      </font>
    </dxf>
    <dxf>
      <font>
        <color indexed="10"/>
      </font>
    </dxf>
    <dxf>
      <font>
        <color indexed="10"/>
      </font>
    </dxf>
    <dxf>
      <font>
        <color auto="1"/>
      </font>
    </dxf>
    <dxf>
      <font>
        <color indexed="10"/>
      </font>
    </dxf>
    <dxf>
      <font>
        <color indexed="10"/>
      </font>
    </dxf>
    <dxf>
      <font>
        <color indexed="10"/>
      </font>
    </dxf>
    <dxf>
      <font>
        <color indexed="8"/>
      </font>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10"/>
      </font>
    </dxf>
    <dxf>
      <font>
        <color indexed="10"/>
      </font>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10"/>
      </font>
    </dxf>
    <dxf>
      <font>
        <color indexed="10"/>
      </font>
    </dxf>
    <dxf>
      <font>
        <color indexed="10"/>
      </font>
    </dxf>
    <dxf>
      <font>
        <color theme="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Loop Transmission Bode Plot - Magnitude</a:t>
            </a:r>
          </a:p>
        </c:rich>
      </c:tx>
      <c:layout>
        <c:manualLayout>
          <c:xMode val="factor"/>
          <c:yMode val="factor"/>
          <c:x val="-0.006"/>
          <c:y val="0"/>
        </c:manualLayout>
      </c:layout>
      <c:spPr>
        <a:noFill/>
        <a:ln>
          <a:noFill/>
        </a:ln>
      </c:spPr>
    </c:title>
    <c:plotArea>
      <c:layout>
        <c:manualLayout>
          <c:xMode val="edge"/>
          <c:yMode val="edge"/>
          <c:x val="0.02825"/>
          <c:y val="0.074"/>
          <c:w val="0.9535"/>
          <c:h val="0.88225"/>
        </c:manualLayout>
      </c:layout>
      <c:scatterChart>
        <c:scatterStyle val="smoothMarker"/>
        <c:varyColors val="0"/>
        <c:ser>
          <c:idx val="0"/>
          <c:order val="0"/>
          <c:tx>
            <c:strRef>
              <c:f>'Bode Plot Data'!$O$14</c:f>
              <c:strCache>
                <c:ptCount val="1"/>
                <c:pt idx="0">
                  <c:v>IT2(s)I (dB)</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noFill/>
              </a:ln>
            </c:spPr>
          </c:marker>
          <c:xVal>
            <c:numRef>
              <c:f>'Bode Plot Data'!$J$15:$J$140</c:f>
              <c:numCache>
                <c:ptCount val="126"/>
                <c:pt idx="0">
                  <c:v>0.1</c:v>
                </c:pt>
                <c:pt idx="1">
                  <c:v>0.10964781961431852</c:v>
                </c:pt>
                <c:pt idx="2">
                  <c:v>0.12022644346174131</c:v>
                </c:pt>
                <c:pt idx="3">
                  <c:v>0.13182567385564076</c:v>
                </c:pt>
                <c:pt idx="4">
                  <c:v>0.14454397707459282</c:v>
                </c:pt>
                <c:pt idx="5">
                  <c:v>0.15848931924611143</c:v>
                </c:pt>
                <c:pt idx="6">
                  <c:v>0.17378008287493765</c:v>
                </c:pt>
                <c:pt idx="7">
                  <c:v>0.19054607179632485</c:v>
                </c:pt>
                <c:pt idx="8">
                  <c:v>0.20892961308540411</c:v>
                </c:pt>
                <c:pt idx="9">
                  <c:v>0.22908676527677752</c:v>
                </c:pt>
                <c:pt idx="10">
                  <c:v>0.25118864315095824</c:v>
                </c:pt>
                <c:pt idx="11">
                  <c:v>0.2754228703338169</c:v>
                </c:pt>
                <c:pt idx="12">
                  <c:v>0.30199517204020193</c:v>
                </c:pt>
                <c:pt idx="13">
                  <c:v>0.33113112148259144</c:v>
                </c:pt>
                <c:pt idx="14">
                  <c:v>0.36307805477010174</c:v>
                </c:pt>
                <c:pt idx="15">
                  <c:v>0.3981071705534977</c:v>
                </c:pt>
                <c:pt idx="16">
                  <c:v>0.4365158322401665</c:v>
                </c:pt>
                <c:pt idx="17">
                  <c:v>0.478630092322639</c:v>
                </c:pt>
                <c:pt idx="18">
                  <c:v>0.5248074602497733</c:v>
                </c:pt>
                <c:pt idx="19">
                  <c:v>0.5754399373371578</c:v>
                </c:pt>
                <c:pt idx="20">
                  <c:v>0.6309573444801942</c:v>
                </c:pt>
                <c:pt idx="21">
                  <c:v>0.6918309709189376</c:v>
                </c:pt>
                <c:pt idx="22">
                  <c:v>0.7585775750291851</c:v>
                </c:pt>
                <c:pt idx="23">
                  <c:v>0.8317637711026725</c:v>
                </c:pt>
                <c:pt idx="24">
                  <c:v>0.9120108393559114</c:v>
                </c:pt>
                <c:pt idx="25">
                  <c:v>1.000000000000002</c:v>
                </c:pt>
                <c:pt idx="26">
                  <c:v>1.0964781961431873</c:v>
                </c:pt>
                <c:pt idx="27">
                  <c:v>1.2022644346174156</c:v>
                </c:pt>
                <c:pt idx="28">
                  <c:v>1.3182567385564101</c:v>
                </c:pt>
                <c:pt idx="29">
                  <c:v>1.445439770745931</c:v>
                </c:pt>
                <c:pt idx="30">
                  <c:v>1.5848931924611174</c:v>
                </c:pt>
                <c:pt idx="31">
                  <c:v>1.7378008287493798</c:v>
                </c:pt>
                <c:pt idx="32">
                  <c:v>1.9054607179632521</c:v>
                </c:pt>
                <c:pt idx="33">
                  <c:v>2.089296130854045</c:v>
                </c:pt>
                <c:pt idx="34">
                  <c:v>2.2908676527677794</c:v>
                </c:pt>
                <c:pt idx="35">
                  <c:v>2.5118864315095872</c:v>
                </c:pt>
                <c:pt idx="36">
                  <c:v>2.7542287033381743</c:v>
                </c:pt>
                <c:pt idx="37">
                  <c:v>3.019951720402025</c:v>
                </c:pt>
                <c:pt idx="38">
                  <c:v>3.311311214825921</c:v>
                </c:pt>
                <c:pt idx="39">
                  <c:v>3.6307805477010247</c:v>
                </c:pt>
                <c:pt idx="40">
                  <c:v>3.981071705534985</c:v>
                </c:pt>
                <c:pt idx="41">
                  <c:v>4.3651583224016735</c:v>
                </c:pt>
                <c:pt idx="42">
                  <c:v>4.786300923226399</c:v>
                </c:pt>
                <c:pt idx="43">
                  <c:v>5.248074602497743</c:v>
                </c:pt>
                <c:pt idx="44">
                  <c:v>5.754399373371588</c:v>
                </c:pt>
                <c:pt idx="45">
                  <c:v>6.309573444801954</c:v>
                </c:pt>
                <c:pt idx="46">
                  <c:v>6.918309709189389</c:v>
                </c:pt>
                <c:pt idx="47">
                  <c:v>7.585775750291864</c:v>
                </c:pt>
                <c:pt idx="48">
                  <c:v>8.31763771102674</c:v>
                </c:pt>
                <c:pt idx="49">
                  <c:v>9.12010839355913</c:v>
                </c:pt>
                <c:pt idx="50">
                  <c:v>10.000000000000037</c:v>
                </c:pt>
                <c:pt idx="51">
                  <c:v>10.964781961431893</c:v>
                </c:pt>
                <c:pt idx="52">
                  <c:v>12.022644346174177</c:v>
                </c:pt>
                <c:pt idx="53">
                  <c:v>13.182567385564125</c:v>
                </c:pt>
                <c:pt idx="54">
                  <c:v>14.454397707459336</c:v>
                </c:pt>
                <c:pt idx="55">
                  <c:v>15.848931924611202</c:v>
                </c:pt>
                <c:pt idx="56">
                  <c:v>17.37800828749383</c:v>
                </c:pt>
                <c:pt idx="57">
                  <c:v>19.05460717963256</c:v>
                </c:pt>
                <c:pt idx="58">
                  <c:v>20.892961308540492</c:v>
                </c:pt>
                <c:pt idx="59">
                  <c:v>22.90867652767784</c:v>
                </c:pt>
                <c:pt idx="60">
                  <c:v>25.118864315095923</c:v>
                </c:pt>
                <c:pt idx="61">
                  <c:v>27.5422870333818</c:v>
                </c:pt>
                <c:pt idx="62">
                  <c:v>30.199517204020314</c:v>
                </c:pt>
                <c:pt idx="63">
                  <c:v>33.113112148259276</c:v>
                </c:pt>
                <c:pt idx="64">
                  <c:v>36.30780547701032</c:v>
                </c:pt>
                <c:pt idx="65">
                  <c:v>39.81071705534993</c:v>
                </c:pt>
                <c:pt idx="66">
                  <c:v>43.651583224016825</c:v>
                </c:pt>
                <c:pt idx="67">
                  <c:v>47.86300923226409</c:v>
                </c:pt>
                <c:pt idx="68">
                  <c:v>52.48074602497754</c:v>
                </c:pt>
                <c:pt idx="69">
                  <c:v>57.54399373371601</c:v>
                </c:pt>
                <c:pt idx="70">
                  <c:v>63.09573444801968</c:v>
                </c:pt>
                <c:pt idx="71">
                  <c:v>69.18309709189404</c:v>
                </c:pt>
                <c:pt idx="72">
                  <c:v>75.85775750291882</c:v>
                </c:pt>
                <c:pt idx="73">
                  <c:v>83.17637711026758</c:v>
                </c:pt>
                <c:pt idx="74">
                  <c:v>91.20108393559151</c:v>
                </c:pt>
                <c:pt idx="75">
                  <c:v>100.0000000000006</c:v>
                </c:pt>
                <c:pt idx="76">
                  <c:v>109.64781961431916</c:v>
                </c:pt>
                <c:pt idx="77">
                  <c:v>120.22644346174202</c:v>
                </c:pt>
                <c:pt idx="78">
                  <c:v>131.82567385564153</c:v>
                </c:pt>
                <c:pt idx="79">
                  <c:v>144.54397707459367</c:v>
                </c:pt>
                <c:pt idx="80">
                  <c:v>158.48931924611236</c:v>
                </c:pt>
                <c:pt idx="81">
                  <c:v>173.78008287493867</c:v>
                </c:pt>
                <c:pt idx="82">
                  <c:v>190.54607179632598</c:v>
                </c:pt>
                <c:pt idx="83">
                  <c:v>208.92961308540535</c:v>
                </c:pt>
                <c:pt idx="84">
                  <c:v>229.08676527677886</c:v>
                </c:pt>
                <c:pt idx="85">
                  <c:v>251.18864315095973</c:v>
                </c:pt>
                <c:pt idx="86">
                  <c:v>275.42287033381854</c:v>
                </c:pt>
                <c:pt idx="87">
                  <c:v>301.9951720402037</c:v>
                </c:pt>
                <c:pt idx="88">
                  <c:v>331.1311214825934</c:v>
                </c:pt>
                <c:pt idx="89">
                  <c:v>363.0780547701039</c:v>
                </c:pt>
                <c:pt idx="90">
                  <c:v>398.1071705535001</c:v>
                </c:pt>
                <c:pt idx="91">
                  <c:v>436.5158322401691</c:v>
                </c:pt>
                <c:pt idx="92">
                  <c:v>478.6300923226418</c:v>
                </c:pt>
                <c:pt idx="93">
                  <c:v>524.8074602497765</c:v>
                </c:pt>
                <c:pt idx="94">
                  <c:v>575.4399373371612</c:v>
                </c:pt>
                <c:pt idx="95">
                  <c:v>630.9573444801979</c:v>
                </c:pt>
                <c:pt idx="96">
                  <c:v>691.8309709189416</c:v>
                </c:pt>
                <c:pt idx="97">
                  <c:v>758.5775750291895</c:v>
                </c:pt>
                <c:pt idx="98">
                  <c:v>831.7637711026773</c:v>
                </c:pt>
                <c:pt idx="99">
                  <c:v>912.0108393559167</c:v>
                </c:pt>
                <c:pt idx="100">
                  <c:v>1000.0000000000077</c:v>
                </c:pt>
                <c:pt idx="101">
                  <c:v>1096.4781961431936</c:v>
                </c:pt>
                <c:pt idx="102">
                  <c:v>1202.2644346174225</c:v>
                </c:pt>
                <c:pt idx="103">
                  <c:v>1318.2567385564178</c:v>
                </c:pt>
                <c:pt idx="104">
                  <c:v>1445.4397707459393</c:v>
                </c:pt>
                <c:pt idx="105">
                  <c:v>1584.8931924611265</c:v>
                </c:pt>
                <c:pt idx="106">
                  <c:v>1737.80082874939</c:v>
                </c:pt>
                <c:pt idx="107">
                  <c:v>1905.460717963263</c:v>
                </c:pt>
                <c:pt idx="108">
                  <c:v>2089.296130854057</c:v>
                </c:pt>
                <c:pt idx="109">
                  <c:v>2290.8676527677926</c:v>
                </c:pt>
                <c:pt idx="110">
                  <c:v>2511.8864315096016</c:v>
                </c:pt>
                <c:pt idx="111">
                  <c:v>2754.2287033381904</c:v>
                </c:pt>
                <c:pt idx="112">
                  <c:v>3019.9517204020426</c:v>
                </c:pt>
                <c:pt idx="113">
                  <c:v>3311.31121482594</c:v>
                </c:pt>
                <c:pt idx="114">
                  <c:v>3630.7805477010456</c:v>
                </c:pt>
                <c:pt idx="115">
                  <c:v>3981.0717055350083</c:v>
                </c:pt>
                <c:pt idx="116">
                  <c:v>4365.1583224016995</c:v>
                </c:pt>
                <c:pt idx="117">
                  <c:v>4786.300923226428</c:v>
                </c:pt>
                <c:pt idx="118">
                  <c:v>5248.074602497774</c:v>
                </c:pt>
                <c:pt idx="119">
                  <c:v>5754.3993733716225</c:v>
                </c:pt>
                <c:pt idx="120">
                  <c:v>6309.573444801991</c:v>
                </c:pt>
                <c:pt idx="121">
                  <c:v>6918.30970918943</c:v>
                </c:pt>
                <c:pt idx="122">
                  <c:v>7585.775750291909</c:v>
                </c:pt>
                <c:pt idx="123">
                  <c:v>8317.63771102679</c:v>
                </c:pt>
                <c:pt idx="124">
                  <c:v>9120.108393559185</c:v>
                </c:pt>
                <c:pt idx="125">
                  <c:v>10000.000000000096</c:v>
                </c:pt>
              </c:numCache>
            </c:numRef>
          </c:xVal>
          <c:yVal>
            <c:numRef>
              <c:f>'Bode Plot Data'!$O$15:$O$140</c:f>
              <c:numCache>
                <c:ptCount val="126"/>
                <c:pt idx="0">
                  <c:v>43.80001352031833</c:v>
                </c:pt>
                <c:pt idx="1">
                  <c:v>42.99740348572363</c:v>
                </c:pt>
                <c:pt idx="2">
                  <c:v>42.19426799717513</c:v>
                </c:pt>
                <c:pt idx="3">
                  <c:v>41.390501865521436</c:v>
                </c:pt>
                <c:pt idx="4">
                  <c:v>40.585979107589836</c:v>
                </c:pt>
                <c:pt idx="5">
                  <c:v>39.78054895193142</c:v>
                </c:pt>
                <c:pt idx="6">
                  <c:v>38.97403112871376</c:v>
                </c:pt>
                <c:pt idx="7">
                  <c:v>38.16621033835096</c:v>
                </c:pt>
                <c:pt idx="8">
                  <c:v>37.35682978853583</c:v>
                </c:pt>
                <c:pt idx="9">
                  <c:v>36.54558368989266</c:v>
                </c:pt>
                <c:pt idx="10">
                  <c:v>35.73210860995072</c:v>
                </c:pt>
                <c:pt idx="11">
                  <c:v>34.915973608341716</c:v>
                </c:pt>
                <c:pt idx="12">
                  <c:v>34.09666911951936</c:v>
                </c:pt>
                <c:pt idx="13">
                  <c:v>33.27359462137802</c:v>
                </c:pt>
                <c:pt idx="14">
                  <c:v>32.4460452394635</c:v>
                </c:pt>
                <c:pt idx="15">
                  <c:v>31.61319759951929</c:v>
                </c:pt>
                <c:pt idx="16">
                  <c:v>30.77409546930514</c:v>
                </c:pt>
                <c:pt idx="17">
                  <c:v>29.927636036287517</c:v>
                </c:pt>
                <c:pt idx="18">
                  <c:v>29.072558058286738</c:v>
                </c:pt>
                <c:pt idx="19">
                  <c:v>28.20743359570933</c:v>
                </c:pt>
                <c:pt idx="20">
                  <c:v>27.330665562804136</c:v>
                </c:pt>
                <c:pt idx="21">
                  <c:v>26.44049386655812</c:v>
                </c:pt>
                <c:pt idx="22">
                  <c:v>25.535013338052988</c:v>
                </c:pt>
                <c:pt idx="23">
                  <c:v>24.612206855734463</c:v>
                </c:pt>
                <c:pt idx="24">
                  <c:v>23.6699968223812</c:v>
                </c:pt>
                <c:pt idx="25">
                  <c:v>22.70631727977061</c:v>
                </c:pt>
                <c:pt idx="26">
                  <c:v>21.719207258938233</c:v>
                </c:pt>
                <c:pt idx="27">
                  <c:v>20.70692342654127</c:v>
                </c:pt>
                <c:pt idx="28">
                  <c:v>19.668066876663133</c:v>
                </c:pt>
                <c:pt idx="29">
                  <c:v>18.601715493350238</c:v>
                </c:pt>
                <c:pt idx="30">
                  <c:v>17.50755039144846</c:v>
                </c:pt>
                <c:pt idx="31">
                  <c:v>16.38596335498246</c:v>
                </c:pt>
                <c:pt idx="32">
                  <c:v>15.23813259097266</c:v>
                </c:pt>
                <c:pt idx="33">
                  <c:v>14.066056703182001</c:v>
                </c:pt>
                <c:pt idx="34">
                  <c:v>12.872541143768743</c:v>
                </c:pt>
                <c:pt idx="35">
                  <c:v>11.66113655928724</c:v>
                </c:pt>
                <c:pt idx="36">
                  <c:v>10.436033239802223</c:v>
                </c:pt>
                <c:pt idx="37">
                  <c:v>9.201919367301295</c:v>
                </c:pt>
                <c:pt idx="38">
                  <c:v>7.963812572384798</c:v>
                </c:pt>
                <c:pt idx="39">
                  <c:v>6.726874715166247</c:v>
                </c:pt>
                <c:pt idx="40">
                  <c:v>5.496219496840534</c:v>
                </c:pt>
                <c:pt idx="41">
                  <c:v>4.276722207887466</c:v>
                </c:pt>
                <c:pt idx="42">
                  <c:v>3.072841021329337</c:v>
                </c:pt>
                <c:pt idx="43">
                  <c:v>1.888459615989375</c:v>
                </c:pt>
                <c:pt idx="44">
                  <c:v>0.7267609756664002</c:v>
                </c:pt>
                <c:pt idx="45">
                  <c:v>-0.4098588041155464</c:v>
                </c:pt>
                <c:pt idx="46">
                  <c:v>-1.5198304904743316</c:v>
                </c:pt>
                <c:pt idx="47">
                  <c:v>-2.6024034594273187</c:v>
                </c:pt>
                <c:pt idx="48">
                  <c:v>-3.657592320431813</c:v>
                </c:pt>
                <c:pt idx="49">
                  <c:v>-4.686086451923391</c:v>
                </c:pt>
                <c:pt idx="50">
                  <c:v>-5.689134093193168</c:v>
                </c:pt>
                <c:pt idx="51">
                  <c:v>-6.668414205007678</c:v>
                </c:pt>
                <c:pt idx="52">
                  <c:v>-7.625908715022116</c:v>
                </c:pt>
                <c:pt idx="53">
                  <c:v>-8.563785454586599</c:v>
                </c:pt>
                <c:pt idx="54">
                  <c:v>-9.484298845148853</c:v>
                </c:pt>
                <c:pt idx="55">
                  <c:v>-10.389712005772264</c:v>
                </c:pt>
                <c:pt idx="56">
                  <c:v>-11.282241034136442</c:v>
                </c:pt>
                <c:pt idx="57">
                  <c:v>-12.164020082320537</c:v>
                </c:pt>
                <c:pt idx="58">
                  <c:v>-13.037084564483166</c:v>
                </c:pt>
                <c:pt idx="59">
                  <c:v>-13.903369277943742</c:v>
                </c:pt>
                <c:pt idx="60">
                  <c:v>-14.764718190827637</c:v>
                </c:pt>
                <c:pt idx="61">
                  <c:v>-15.622902936682749</c:v>
                </c:pt>
                <c:pt idx="62">
                  <c:v>-16.47964747886309</c:v>
                </c:pt>
                <c:pt idx="63">
                  <c:v>-17.336656831127385</c:v>
                </c:pt>
                <c:pt idx="64">
                  <c:v>-18.195648057153534</c:v>
                </c:pt>
                <c:pt idx="65">
                  <c:v>-19.05838196847966</c:v>
                </c:pt>
                <c:pt idx="66">
                  <c:v>-19.926693973193473</c:v>
                </c:pt>
                <c:pt idx="67">
                  <c:v>-20.8025223935676</c:v>
                </c:pt>
                <c:pt idx="68">
                  <c:v>-21.68793228771274</c:v>
                </c:pt>
                <c:pt idx="69">
                  <c:v>-22.585132421427268</c:v>
                </c:pt>
                <c:pt idx="70">
                  <c:v>-23.49648261870437</c:v>
                </c:pt>
                <c:pt idx="71">
                  <c:v>-24.42448839244525</c:v>
                </c:pt>
                <c:pt idx="72">
                  <c:v>-25.371779686843556</c:v>
                </c:pt>
                <c:pt idx="73">
                  <c:v>-26.34107095167405</c:v>
                </c:pt>
                <c:pt idx="74">
                  <c:v>-27.335100819840747</c:v>
                </c:pt>
                <c:pt idx="75">
                  <c:v>-28.356551512785067</c:v>
                </c:pt>
                <c:pt idx="76">
                  <c:v>-29.407950739010143</c:v>
                </c:pt>
                <c:pt idx="77">
                  <c:v>-30.49156201861465</c:v>
                </c:pt>
                <c:pt idx="78">
                  <c:v>-31.609272511557975</c:v>
                </c:pt>
                <c:pt idx="79">
                  <c:v>-32.7624897696449</c:v>
                </c:pt>
                <c:pt idx="80">
                  <c:v>-33.9520595558912</c:v>
                </c:pt>
                <c:pt idx="81">
                  <c:v>-35.17821542119546</c:v>
                </c:pt>
                <c:pt idx="82">
                  <c:v>-36.440567076701086</c:v>
                </c:pt>
                <c:pt idx="83">
                  <c:v>-37.73812938724271</c:v>
                </c:pt>
                <c:pt idx="84">
                  <c:v>-39.069388186899204</c:v>
                </c:pt>
                <c:pt idx="85">
                  <c:v>-40.432394372844854</c:v>
                </c:pt>
                <c:pt idx="86">
                  <c:v>-41.82487486153938</c:v>
                </c:pt>
                <c:pt idx="87">
                  <c:v>-43.24434838631433</c:v>
                </c:pt>
                <c:pt idx="88">
                  <c:v>-44.68823553161059</c:v>
                </c:pt>
                <c:pt idx="89">
                  <c:v>-46.15395514517226</c:v>
                </c:pt>
                <c:pt idx="90">
                  <c:v>-47.63900251154391</c:v>
                </c:pt>
                <c:pt idx="91">
                  <c:v>-49.14100769736329</c:v>
                </c:pt>
                <c:pt idx="92">
                  <c:v>-50.65777484681338</c:v>
                </c:pt>
                <c:pt idx="93">
                  <c:v>-52.18730475142613</c:v>
                </c:pt>
                <c:pt idx="94">
                  <c:v>-53.72780379288442</c:v>
                </c:pt>
                <c:pt idx="95">
                  <c:v>-55.27768252883456</c:v>
                </c:pt>
                <c:pt idx="96">
                  <c:v>-56.83554696253645</c:v>
                </c:pt>
                <c:pt idx="97">
                  <c:v>-58.400185090380134</c:v>
                </c:pt>
                <c:pt idx="98">
                  <c:v>-59.970550795560776</c:v>
                </c:pt>
                <c:pt idx="99">
                  <c:v>-61.54574664212467</c:v>
                </c:pt>
                <c:pt idx="100">
                  <c:v>-63.12500667109059</c:v>
                </c:pt>
                <c:pt idx="101">
                  <c:v>-64.70767992985125</c:v>
                </c:pt>
                <c:pt idx="102">
                  <c:v>-66.29321517936971</c:v>
                </c:pt>
                <c:pt idx="103">
                  <c:v>-67.88114701243822</c:v>
                </c:pt>
                <c:pt idx="104">
                  <c:v>-69.47108346779328</c:v>
                </c:pt>
                <c:pt idx="105">
                  <c:v>-71.06269512575606</c:v>
                </c:pt>
                <c:pt idx="106">
                  <c:v>-72.6557056090411</c:v>
                </c:pt>
                <c:pt idx="107">
                  <c:v>-74.24988337714308</c:v>
                </c:pt>
                <c:pt idx="108">
                  <c:v>-75.84503468611322</c:v>
                </c:pt>
                <c:pt idx="109">
                  <c:v>-77.44099758136493</c:v>
                </c:pt>
                <c:pt idx="110">
                  <c:v>-79.03763679486387</c:v>
                </c:pt>
                <c:pt idx="111">
                  <c:v>-80.6348394264121</c:v>
                </c:pt>
                <c:pt idx="112">
                  <c:v>-82.23251129952567</c:v>
                </c:pt>
                <c:pt idx="113">
                  <c:v>-83.83057389413439</c:v>
                </c:pt>
                <c:pt idx="114">
                  <c:v>-85.42896177006034</c:v>
                </c:pt>
                <c:pt idx="115">
                  <c:v>-87.02762040639084</c:v>
                </c:pt>
                <c:pt idx="116">
                  <c:v>-88.62650439213509</c:v>
                </c:pt>
                <c:pt idx="117">
                  <c:v>-90.22557591279494</c:v>
                </c:pt>
                <c:pt idx="118">
                  <c:v>-91.82480348566195</c:v>
                </c:pt>
                <c:pt idx="119">
                  <c:v>-93.42416090379898</c:v>
                </c:pt>
                <c:pt idx="120">
                  <c:v>-95.02362635485056</c:v>
                </c:pt>
                <c:pt idx="121">
                  <c:v>-96.6231816861378</c:v>
                </c:pt>
                <c:pt idx="122">
                  <c:v>-98.22281179203131</c:v>
                </c:pt>
                <c:pt idx="123">
                  <c:v>-99.8225041034474</c:v>
                </c:pt>
                <c:pt idx="124">
                  <c:v>-101.42224816257811</c:v>
                </c:pt>
                <c:pt idx="125">
                  <c:v>-103.02203526871338</c:v>
                </c:pt>
              </c:numCache>
            </c:numRef>
          </c:yVal>
          <c:smooth val="1"/>
        </c:ser>
        <c:axId val="16085855"/>
        <c:axId val="7789524"/>
      </c:scatterChart>
      <c:valAx>
        <c:axId val="16085855"/>
        <c:scaling>
          <c:logBase val="10"/>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Frequency (Hz)</a:t>
                </a:r>
              </a:p>
            </c:rich>
          </c:tx>
          <c:layout>
            <c:manualLayout>
              <c:xMode val="factor"/>
              <c:yMode val="factor"/>
              <c:x val="0.005"/>
              <c:y val="0.0005"/>
            </c:manualLayout>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out"/>
        <c:minorTickMark val="out"/>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7789524"/>
        <c:crossesAt val="-120"/>
        <c:crossBetween val="midCat"/>
        <c:dispUnits/>
      </c:valAx>
      <c:valAx>
        <c:axId val="7789524"/>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Magnitude (dB)</a:t>
                </a:r>
              </a:p>
            </c:rich>
          </c:tx>
          <c:layout>
            <c:manualLayout>
              <c:xMode val="factor"/>
              <c:yMode val="factor"/>
              <c:x val="0.001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out"/>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16085855"/>
        <c:crossesAt val="0.1"/>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Loop Transmission Bode Plot - Phase</a:t>
            </a:r>
          </a:p>
        </c:rich>
      </c:tx>
      <c:layout>
        <c:manualLayout>
          <c:xMode val="factor"/>
          <c:yMode val="factor"/>
          <c:x val="-0.004"/>
          <c:y val="0"/>
        </c:manualLayout>
      </c:layout>
      <c:spPr>
        <a:noFill/>
        <a:ln>
          <a:noFill/>
        </a:ln>
      </c:spPr>
    </c:title>
    <c:plotArea>
      <c:layout>
        <c:manualLayout>
          <c:xMode val="edge"/>
          <c:yMode val="edge"/>
          <c:x val="0.0265"/>
          <c:y val="0.07375"/>
          <c:w val="0.95575"/>
          <c:h val="0.88175"/>
        </c:manualLayout>
      </c:layout>
      <c:scatterChart>
        <c:scatterStyle val="smoothMarker"/>
        <c:varyColors val="0"/>
        <c:ser>
          <c:idx val="0"/>
          <c:order val="0"/>
          <c:tx>
            <c:strRef>
              <c:f>'Bode Plot Data'!$P$14</c:f>
              <c:strCache>
                <c:ptCount val="1"/>
                <c:pt idx="0">
                  <c:v>P(T2(s)) (deg)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noFill/>
              </a:ln>
            </c:spPr>
          </c:marker>
          <c:xVal>
            <c:numRef>
              <c:f>'Bode Plot Data'!$J$15:$J$140</c:f>
              <c:numCache>
                <c:ptCount val="126"/>
                <c:pt idx="0">
                  <c:v>0.1</c:v>
                </c:pt>
                <c:pt idx="1">
                  <c:v>0.10964781961431852</c:v>
                </c:pt>
                <c:pt idx="2">
                  <c:v>0.12022644346174131</c:v>
                </c:pt>
                <c:pt idx="3">
                  <c:v>0.13182567385564076</c:v>
                </c:pt>
                <c:pt idx="4">
                  <c:v>0.14454397707459282</c:v>
                </c:pt>
                <c:pt idx="5">
                  <c:v>0.15848931924611143</c:v>
                </c:pt>
                <c:pt idx="6">
                  <c:v>0.17378008287493765</c:v>
                </c:pt>
                <c:pt idx="7">
                  <c:v>0.19054607179632485</c:v>
                </c:pt>
                <c:pt idx="8">
                  <c:v>0.20892961308540411</c:v>
                </c:pt>
                <c:pt idx="9">
                  <c:v>0.22908676527677752</c:v>
                </c:pt>
                <c:pt idx="10">
                  <c:v>0.25118864315095824</c:v>
                </c:pt>
                <c:pt idx="11">
                  <c:v>0.2754228703338169</c:v>
                </c:pt>
                <c:pt idx="12">
                  <c:v>0.30199517204020193</c:v>
                </c:pt>
                <c:pt idx="13">
                  <c:v>0.33113112148259144</c:v>
                </c:pt>
                <c:pt idx="14">
                  <c:v>0.36307805477010174</c:v>
                </c:pt>
                <c:pt idx="15">
                  <c:v>0.3981071705534977</c:v>
                </c:pt>
                <c:pt idx="16">
                  <c:v>0.4365158322401665</c:v>
                </c:pt>
                <c:pt idx="17">
                  <c:v>0.478630092322639</c:v>
                </c:pt>
                <c:pt idx="18">
                  <c:v>0.5248074602497733</c:v>
                </c:pt>
                <c:pt idx="19">
                  <c:v>0.5754399373371578</c:v>
                </c:pt>
                <c:pt idx="20">
                  <c:v>0.6309573444801942</c:v>
                </c:pt>
                <c:pt idx="21">
                  <c:v>0.6918309709189376</c:v>
                </c:pt>
                <c:pt idx="22">
                  <c:v>0.7585775750291851</c:v>
                </c:pt>
                <c:pt idx="23">
                  <c:v>0.8317637711026725</c:v>
                </c:pt>
                <c:pt idx="24">
                  <c:v>0.9120108393559114</c:v>
                </c:pt>
                <c:pt idx="25">
                  <c:v>1.000000000000002</c:v>
                </c:pt>
                <c:pt idx="26">
                  <c:v>1.0964781961431873</c:v>
                </c:pt>
                <c:pt idx="27">
                  <c:v>1.2022644346174156</c:v>
                </c:pt>
                <c:pt idx="28">
                  <c:v>1.3182567385564101</c:v>
                </c:pt>
                <c:pt idx="29">
                  <c:v>1.445439770745931</c:v>
                </c:pt>
                <c:pt idx="30">
                  <c:v>1.5848931924611174</c:v>
                </c:pt>
                <c:pt idx="31">
                  <c:v>1.7378008287493798</c:v>
                </c:pt>
                <c:pt idx="32">
                  <c:v>1.9054607179632521</c:v>
                </c:pt>
                <c:pt idx="33">
                  <c:v>2.089296130854045</c:v>
                </c:pt>
                <c:pt idx="34">
                  <c:v>2.2908676527677794</c:v>
                </c:pt>
                <c:pt idx="35">
                  <c:v>2.5118864315095872</c:v>
                </c:pt>
                <c:pt idx="36">
                  <c:v>2.7542287033381743</c:v>
                </c:pt>
                <c:pt idx="37">
                  <c:v>3.019951720402025</c:v>
                </c:pt>
                <c:pt idx="38">
                  <c:v>3.311311214825921</c:v>
                </c:pt>
                <c:pt idx="39">
                  <c:v>3.6307805477010247</c:v>
                </c:pt>
                <c:pt idx="40">
                  <c:v>3.981071705534985</c:v>
                </c:pt>
                <c:pt idx="41">
                  <c:v>4.3651583224016735</c:v>
                </c:pt>
                <c:pt idx="42">
                  <c:v>4.786300923226399</c:v>
                </c:pt>
                <c:pt idx="43">
                  <c:v>5.248074602497743</c:v>
                </c:pt>
                <c:pt idx="44">
                  <c:v>5.754399373371588</c:v>
                </c:pt>
                <c:pt idx="45">
                  <c:v>6.309573444801954</c:v>
                </c:pt>
                <c:pt idx="46">
                  <c:v>6.918309709189389</c:v>
                </c:pt>
                <c:pt idx="47">
                  <c:v>7.585775750291864</c:v>
                </c:pt>
                <c:pt idx="48">
                  <c:v>8.31763771102674</c:v>
                </c:pt>
                <c:pt idx="49">
                  <c:v>9.12010839355913</c:v>
                </c:pt>
                <c:pt idx="50">
                  <c:v>10.000000000000037</c:v>
                </c:pt>
                <c:pt idx="51">
                  <c:v>10.964781961431893</c:v>
                </c:pt>
                <c:pt idx="52">
                  <c:v>12.022644346174177</c:v>
                </c:pt>
                <c:pt idx="53">
                  <c:v>13.182567385564125</c:v>
                </c:pt>
                <c:pt idx="54">
                  <c:v>14.454397707459336</c:v>
                </c:pt>
                <c:pt idx="55">
                  <c:v>15.848931924611202</c:v>
                </c:pt>
                <c:pt idx="56">
                  <c:v>17.37800828749383</c:v>
                </c:pt>
                <c:pt idx="57">
                  <c:v>19.05460717963256</c:v>
                </c:pt>
                <c:pt idx="58">
                  <c:v>20.892961308540492</c:v>
                </c:pt>
                <c:pt idx="59">
                  <c:v>22.90867652767784</c:v>
                </c:pt>
                <c:pt idx="60">
                  <c:v>25.118864315095923</c:v>
                </c:pt>
                <c:pt idx="61">
                  <c:v>27.5422870333818</c:v>
                </c:pt>
                <c:pt idx="62">
                  <c:v>30.199517204020314</c:v>
                </c:pt>
                <c:pt idx="63">
                  <c:v>33.113112148259276</c:v>
                </c:pt>
                <c:pt idx="64">
                  <c:v>36.30780547701032</c:v>
                </c:pt>
                <c:pt idx="65">
                  <c:v>39.81071705534993</c:v>
                </c:pt>
                <c:pt idx="66">
                  <c:v>43.651583224016825</c:v>
                </c:pt>
                <c:pt idx="67">
                  <c:v>47.86300923226409</c:v>
                </c:pt>
                <c:pt idx="68">
                  <c:v>52.48074602497754</c:v>
                </c:pt>
                <c:pt idx="69">
                  <c:v>57.54399373371601</c:v>
                </c:pt>
                <c:pt idx="70">
                  <c:v>63.09573444801968</c:v>
                </c:pt>
                <c:pt idx="71">
                  <c:v>69.18309709189404</c:v>
                </c:pt>
                <c:pt idx="72">
                  <c:v>75.85775750291882</c:v>
                </c:pt>
                <c:pt idx="73">
                  <c:v>83.17637711026758</c:v>
                </c:pt>
                <c:pt idx="74">
                  <c:v>91.20108393559151</c:v>
                </c:pt>
                <c:pt idx="75">
                  <c:v>100.0000000000006</c:v>
                </c:pt>
                <c:pt idx="76">
                  <c:v>109.64781961431916</c:v>
                </c:pt>
                <c:pt idx="77">
                  <c:v>120.22644346174202</c:v>
                </c:pt>
                <c:pt idx="78">
                  <c:v>131.82567385564153</c:v>
                </c:pt>
                <c:pt idx="79">
                  <c:v>144.54397707459367</c:v>
                </c:pt>
                <c:pt idx="80">
                  <c:v>158.48931924611236</c:v>
                </c:pt>
                <c:pt idx="81">
                  <c:v>173.78008287493867</c:v>
                </c:pt>
                <c:pt idx="82">
                  <c:v>190.54607179632598</c:v>
                </c:pt>
                <c:pt idx="83">
                  <c:v>208.92961308540535</c:v>
                </c:pt>
                <c:pt idx="84">
                  <c:v>229.08676527677886</c:v>
                </c:pt>
                <c:pt idx="85">
                  <c:v>251.18864315095973</c:v>
                </c:pt>
                <c:pt idx="86">
                  <c:v>275.42287033381854</c:v>
                </c:pt>
                <c:pt idx="87">
                  <c:v>301.9951720402037</c:v>
                </c:pt>
                <c:pt idx="88">
                  <c:v>331.1311214825934</c:v>
                </c:pt>
                <c:pt idx="89">
                  <c:v>363.0780547701039</c:v>
                </c:pt>
                <c:pt idx="90">
                  <c:v>398.1071705535001</c:v>
                </c:pt>
                <c:pt idx="91">
                  <c:v>436.5158322401691</c:v>
                </c:pt>
                <c:pt idx="92">
                  <c:v>478.6300923226418</c:v>
                </c:pt>
                <c:pt idx="93">
                  <c:v>524.8074602497765</c:v>
                </c:pt>
                <c:pt idx="94">
                  <c:v>575.4399373371612</c:v>
                </c:pt>
                <c:pt idx="95">
                  <c:v>630.9573444801979</c:v>
                </c:pt>
                <c:pt idx="96">
                  <c:v>691.8309709189416</c:v>
                </c:pt>
                <c:pt idx="97">
                  <c:v>758.5775750291895</c:v>
                </c:pt>
                <c:pt idx="98">
                  <c:v>831.7637711026773</c:v>
                </c:pt>
                <c:pt idx="99">
                  <c:v>912.0108393559167</c:v>
                </c:pt>
                <c:pt idx="100">
                  <c:v>1000.0000000000077</c:v>
                </c:pt>
                <c:pt idx="101">
                  <c:v>1096.4781961431936</c:v>
                </c:pt>
                <c:pt idx="102">
                  <c:v>1202.2644346174225</c:v>
                </c:pt>
                <c:pt idx="103">
                  <c:v>1318.2567385564178</c:v>
                </c:pt>
                <c:pt idx="104">
                  <c:v>1445.4397707459393</c:v>
                </c:pt>
                <c:pt idx="105">
                  <c:v>1584.8931924611265</c:v>
                </c:pt>
                <c:pt idx="106">
                  <c:v>1737.80082874939</c:v>
                </c:pt>
                <c:pt idx="107">
                  <c:v>1905.460717963263</c:v>
                </c:pt>
                <c:pt idx="108">
                  <c:v>2089.296130854057</c:v>
                </c:pt>
                <c:pt idx="109">
                  <c:v>2290.8676527677926</c:v>
                </c:pt>
                <c:pt idx="110">
                  <c:v>2511.8864315096016</c:v>
                </c:pt>
                <c:pt idx="111">
                  <c:v>2754.2287033381904</c:v>
                </c:pt>
                <c:pt idx="112">
                  <c:v>3019.9517204020426</c:v>
                </c:pt>
                <c:pt idx="113">
                  <c:v>3311.31121482594</c:v>
                </c:pt>
                <c:pt idx="114">
                  <c:v>3630.7805477010456</c:v>
                </c:pt>
                <c:pt idx="115">
                  <c:v>3981.0717055350083</c:v>
                </c:pt>
                <c:pt idx="116">
                  <c:v>4365.1583224016995</c:v>
                </c:pt>
                <c:pt idx="117">
                  <c:v>4786.300923226428</c:v>
                </c:pt>
                <c:pt idx="118">
                  <c:v>5248.074602497774</c:v>
                </c:pt>
                <c:pt idx="119">
                  <c:v>5754.3993733716225</c:v>
                </c:pt>
                <c:pt idx="120">
                  <c:v>6309.573444801991</c:v>
                </c:pt>
                <c:pt idx="121">
                  <c:v>6918.30970918943</c:v>
                </c:pt>
                <c:pt idx="122">
                  <c:v>7585.775750291909</c:v>
                </c:pt>
                <c:pt idx="123">
                  <c:v>8317.63771102679</c:v>
                </c:pt>
                <c:pt idx="124">
                  <c:v>9120.108393559185</c:v>
                </c:pt>
                <c:pt idx="125">
                  <c:v>10000.000000000096</c:v>
                </c:pt>
              </c:numCache>
            </c:numRef>
          </c:xVal>
          <c:yVal>
            <c:numRef>
              <c:f>'Bode Plot Data'!$P$15:$P$140</c:f>
              <c:numCache>
                <c:ptCount val="126"/>
                <c:pt idx="0">
                  <c:v>87.65096845217582</c:v>
                </c:pt>
                <c:pt idx="1">
                  <c:v>87.42510379858982</c:v>
                </c:pt>
                <c:pt idx="2">
                  <c:v>87.17769091460269</c:v>
                </c:pt>
                <c:pt idx="3">
                  <c:v>86.90672761146867</c:v>
                </c:pt>
                <c:pt idx="4">
                  <c:v>86.61004265459687</c:v>
                </c:pt>
                <c:pt idx="5">
                  <c:v>86.28528695589304</c:v>
                </c:pt>
                <c:pt idx="6">
                  <c:v>85.92992620300126</c:v>
                </c:pt>
                <c:pt idx="7">
                  <c:v>85.54123573443808</c:v>
                </c:pt>
                <c:pt idx="8">
                  <c:v>85.11629872883302</c:v>
                </c:pt>
                <c:pt idx="9">
                  <c:v>84.65200910077849</c:v>
                </c:pt>
                <c:pt idx="10">
                  <c:v>84.14508089490883</c:v>
                </c:pt>
                <c:pt idx="11">
                  <c:v>83.59206645108078</c:v>
                </c:pt>
                <c:pt idx="12">
                  <c:v>82.98938617846616</c:v>
                </c:pt>
                <c:pt idx="13">
                  <c:v>82.33337341570515</c:v>
                </c:pt>
                <c:pt idx="14">
                  <c:v>81.62033854031554</c:v>
                </c:pt>
                <c:pt idx="15">
                  <c:v>80.84665716663076</c:v>
                </c:pt>
                <c:pt idx="16">
                  <c:v>80.00888783835492</c:v>
                </c:pt>
                <c:pt idx="17">
                  <c:v>79.10392492146377</c:v>
                </c:pt>
                <c:pt idx="18">
                  <c:v>78.12919220353535</c:v>
                </c:pt>
                <c:pt idx="19">
                  <c:v>77.08288169106152</c:v>
                </c:pt>
                <c:pt idx="20">
                  <c:v>75.96423987480506</c:v>
                </c:pt>
                <c:pt idx="21">
                  <c:v>74.77389987532486</c:v>
                </c:pt>
                <c:pt idx="22">
                  <c:v>73.51425200891597</c:v>
                </c:pt>
                <c:pt idx="23">
                  <c:v>72.1898372591004</c:v>
                </c:pt>
                <c:pt idx="24">
                  <c:v>70.80773816213892</c:v>
                </c:pt>
                <c:pt idx="25">
                  <c:v>69.37793066321022</c:v>
                </c:pt>
                <c:pt idx="26">
                  <c:v>67.91355039671376</c:v>
                </c:pt>
                <c:pt idx="27">
                  <c:v>66.43102027192938</c:v>
                </c:pt>
                <c:pt idx="28">
                  <c:v>64.94998634462108</c:v>
                </c:pt>
                <c:pt idx="29">
                  <c:v>63.493018454957195</c:v>
                </c:pt>
                <c:pt idx="30">
                  <c:v>62.085052119894755</c:v>
                </c:pt>
                <c:pt idx="31">
                  <c:v>60.752577056932026</c:v>
                </c:pt>
                <c:pt idx="32">
                  <c:v>59.52261075515525</c:v>
                </c:pt>
                <c:pt idx="33">
                  <c:v>58.42152576685162</c:v>
                </c:pt>
                <c:pt idx="34">
                  <c:v>57.47381987970065</c:v>
                </c:pt>
                <c:pt idx="35">
                  <c:v>56.70092458881513</c:v>
                </c:pt>
                <c:pt idx="36">
                  <c:v>56.12013916924481</c:v>
                </c:pt>
                <c:pt idx="37">
                  <c:v>55.74375927304709</c:v>
                </c:pt>
                <c:pt idx="38">
                  <c:v>55.57844681873446</c:v>
                </c:pt>
                <c:pt idx="39">
                  <c:v>55.624867993299496</c:v>
                </c:pt>
                <c:pt idx="40">
                  <c:v>55.87761155164887</c:v>
                </c:pt>
                <c:pt idx="41">
                  <c:v>56.32538961442757</c:v>
                </c:pt>
                <c:pt idx="42">
                  <c:v>56.9515143171664</c:v>
                </c:pt>
                <c:pt idx="43">
                  <c:v>57.734631769517726</c:v>
                </c:pt>
                <c:pt idx="44">
                  <c:v>58.64967747432019</c:v>
                </c:pt>
                <c:pt idx="45">
                  <c:v>59.668995758365824</c:v>
                </c:pt>
                <c:pt idx="46">
                  <c:v>60.763544578557166</c:v>
                </c:pt>
                <c:pt idx="47">
                  <c:v>61.90409287009417</c:v>
                </c:pt>
                <c:pt idx="48">
                  <c:v>63.06231608234366</c:v>
                </c:pt>
                <c:pt idx="49">
                  <c:v>64.2117089253148</c:v>
                </c:pt>
                <c:pt idx="50">
                  <c:v>65.32826030419652</c:v>
                </c:pt>
                <c:pt idx="51">
                  <c:v>66.39086798941273</c:v>
                </c:pt>
                <c:pt idx="52">
                  <c:v>67.38150247519523</c:v>
                </c:pt>
                <c:pt idx="53">
                  <c:v>68.28515464214092</c:v>
                </c:pt>
                <c:pt idx="54">
                  <c:v>69.0896169869173</c:v>
                </c:pt>
                <c:pt idx="55">
                  <c:v>69.78515310686578</c:v>
                </c:pt>
                <c:pt idx="56">
                  <c:v>70.36410687681487</c:v>
                </c:pt>
                <c:pt idx="57">
                  <c:v>70.82049440201726</c:v>
                </c:pt>
                <c:pt idx="58">
                  <c:v>71.14961138746122</c:v>
                </c:pt>
                <c:pt idx="59">
                  <c:v>71.34767833619199</c:v>
                </c:pt>
                <c:pt idx="60">
                  <c:v>71.41153737596218</c:v>
                </c:pt>
                <c:pt idx="61">
                  <c:v>71.33840810469509</c:v>
                </c:pt>
                <c:pt idx="62">
                  <c:v>71.12570565457783</c:v>
                </c:pt>
                <c:pt idx="63">
                  <c:v>70.77092187782243</c:v>
                </c:pt>
                <c:pt idx="64">
                  <c:v>70.27156967336101</c:v>
                </c:pt>
                <c:pt idx="65">
                  <c:v>69.62519047436878</c:v>
                </c:pt>
                <c:pt idx="66">
                  <c:v>68.82942527202893</c:v>
                </c:pt>
                <c:pt idx="67">
                  <c:v>67.88214973813322</c:v>
                </c:pt>
                <c:pt idx="68">
                  <c:v>66.78167350264339</c:v>
                </c:pt>
                <c:pt idx="69">
                  <c:v>65.52700191549948</c:v>
                </c:pt>
                <c:pt idx="70">
                  <c:v>64.11815518090103</c:v>
                </c:pt>
                <c:pt idx="71">
                  <c:v>62.55653422670355</c:v>
                </c:pt>
                <c:pt idx="72">
                  <c:v>60.84531497664651</c:v>
                </c:pt>
                <c:pt idx="73">
                  <c:v>58.989843255288044</c:v>
                </c:pt>
                <c:pt idx="74">
                  <c:v>56.99799255210499</c:v>
                </c:pt>
                <c:pt idx="75">
                  <c:v>54.88043837405065</c:v>
                </c:pt>
                <c:pt idx="76">
                  <c:v>52.65079877575111</c:v>
                </c:pt>
                <c:pt idx="77">
                  <c:v>50.32559396720034</c:v>
                </c:pt>
                <c:pt idx="78">
                  <c:v>47.923990996736514</c:v>
                </c:pt>
                <c:pt idx="79">
                  <c:v>45.467322716430886</c:v>
                </c:pt>
                <c:pt idx="80">
                  <c:v>42.97840087426453</c:v>
                </c:pt>
                <c:pt idx="81">
                  <c:v>40.48067547782434</c:v>
                </c:pt>
                <c:pt idx="82">
                  <c:v>37.997318967740114</c:v>
                </c:pt>
                <c:pt idx="83">
                  <c:v>35.55032725738582</c:v>
                </c:pt>
                <c:pt idx="84">
                  <c:v>33.15972655385666</c:v>
                </c:pt>
                <c:pt idx="85">
                  <c:v>30.84295597779414</c:v>
                </c:pt>
                <c:pt idx="86">
                  <c:v>28.614466575065443</c:v>
                </c:pt>
                <c:pt idx="87">
                  <c:v>26.48554487757103</c:v>
                </c:pt>
                <c:pt idx="88">
                  <c:v>24.464340864363784</c:v>
                </c:pt>
                <c:pt idx="89">
                  <c:v>22.556060700097643</c:v>
                </c:pt>
                <c:pt idx="90">
                  <c:v>20.763275489875465</c:v>
                </c:pt>
                <c:pt idx="91">
                  <c:v>19.086297282053817</c:v>
                </c:pt>
                <c:pt idx="92">
                  <c:v>17.52357992518861</c:v>
                </c:pt>
                <c:pt idx="93">
                  <c:v>16.072112055577673</c:v>
                </c:pt>
                <c:pt idx="94">
                  <c:v>14.72777986870439</c:v>
                </c:pt>
                <c:pt idx="95">
                  <c:v>13.485686683332547</c:v>
                </c:pt>
                <c:pt idx="96">
                  <c:v>12.340423769693048</c:v>
                </c:pt>
                <c:pt idx="97">
                  <c:v>11.286292267517515</c:v>
                </c:pt>
                <c:pt idx="98">
                  <c:v>10.3174794545655</c:v>
                </c:pt>
                <c:pt idx="99">
                  <c:v>9.428194519835891</c:v>
                </c:pt>
                <c:pt idx="100">
                  <c:v>8.61276976700554</c:v>
                </c:pt>
                <c:pt idx="101">
                  <c:v>7.865733199710834</c:v>
                </c:pt>
                <c:pt idx="102">
                  <c:v>7.181858021096834</c:v>
                </c:pt>
                <c:pt idx="103">
                  <c:v>6.556193933718931</c:v>
                </c:pt>
                <c:pt idx="104">
                  <c:v>5.984084398907082</c:v>
                </c:pt>
                <c:pt idx="105">
                  <c:v>5.461173297612752</c:v>
                </c:pt>
                <c:pt idx="106">
                  <c:v>4.983403777756706</c:v>
                </c:pt>
                <c:pt idx="107">
                  <c:v>4.547011499288823</c:v>
                </c:pt>
                <c:pt idx="108">
                  <c:v>4.1485140036598445</c:v>
                </c:pt>
                <c:pt idx="109">
                  <c:v>3.784697535493719</c:v>
                </c:pt>
                <c:pt idx="110">
                  <c:v>3.4526023222077815</c:v>
                </c:pt>
                <c:pt idx="111">
                  <c:v>3.149507061482264</c:v>
                </c:pt>
                <c:pt idx="112">
                  <c:v>2.872913165934619</c:v>
                </c:pt>
                <c:pt idx="113">
                  <c:v>2.6205291590214634</c:v>
                </c:pt>
                <c:pt idx="114">
                  <c:v>2.3902554971815175</c:v>
                </c:pt>
                <c:pt idx="115">
                  <c:v>2.1801700030189344</c:v>
                </c:pt>
                <c:pt idx="116">
                  <c:v>1.9885140266853463</c:v>
                </c:pt>
                <c:pt idx="117">
                  <c:v>1.8136794024991008</c:v>
                </c:pt>
                <c:pt idx="118">
                  <c:v>1.6541962312122327</c:v>
                </c:pt>
                <c:pt idx="119">
                  <c:v>1.5087214920107932</c:v>
                </c:pt>
                <c:pt idx="120">
                  <c:v>1.3760284698211567</c:v>
                </c:pt>
                <c:pt idx="121">
                  <c:v>1.25499697085622</c:v>
                </c:pt>
                <c:pt idx="122">
                  <c:v>1.1446042910819039</c:v>
                </c:pt>
                <c:pt idx="123">
                  <c:v>1.043916897267976</c:v>
                </c:pt>
                <c:pt idx="124">
                  <c:v>0.9520827776407529</c:v>
                </c:pt>
                <c:pt idx="125">
                  <c:v>0.8683244182139541</c:v>
                </c:pt>
              </c:numCache>
            </c:numRef>
          </c:yVal>
          <c:smooth val="1"/>
        </c:ser>
        <c:axId val="34154949"/>
        <c:axId val="41361154"/>
      </c:scatterChart>
      <c:valAx>
        <c:axId val="34154949"/>
        <c:scaling>
          <c:logBase val="10"/>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Frequency (Hz)</a:t>
                </a:r>
              </a:p>
            </c:rich>
          </c:tx>
          <c:layout>
            <c:manualLayout>
              <c:xMode val="factor"/>
              <c:yMode val="factor"/>
              <c:x val="0.005"/>
              <c:y val="0.0005"/>
            </c:manualLayout>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out"/>
        <c:minorTickMark val="out"/>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41361154"/>
        <c:crossesAt val="-120"/>
        <c:crossBetween val="midCat"/>
        <c:dispUnits/>
      </c:valAx>
      <c:valAx>
        <c:axId val="41361154"/>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Phase (deg)</a:t>
                </a:r>
              </a:p>
            </c:rich>
          </c:tx>
          <c:layout>
            <c:manualLayout>
              <c:xMode val="factor"/>
              <c:yMode val="factor"/>
              <c:x val="0.001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out"/>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34154949"/>
        <c:crossesAt val="0.1"/>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Loop Gain Bode Plot - Magnitude</a:t>
            </a:r>
          </a:p>
        </c:rich>
      </c:tx>
      <c:layout>
        <c:manualLayout>
          <c:xMode val="factor"/>
          <c:yMode val="factor"/>
          <c:x val="0"/>
          <c:y val="0"/>
        </c:manualLayout>
      </c:layout>
      <c:spPr>
        <a:noFill/>
        <a:ln>
          <a:noFill/>
        </a:ln>
      </c:spPr>
    </c:title>
    <c:plotArea>
      <c:layout>
        <c:manualLayout>
          <c:xMode val="edge"/>
          <c:yMode val="edge"/>
          <c:x val="0.026"/>
          <c:y val="0.08"/>
          <c:w val="0.9585"/>
          <c:h val="0.8755"/>
        </c:manualLayout>
      </c:layout>
      <c:scatterChart>
        <c:scatterStyle val="smoothMarker"/>
        <c:varyColors val="0"/>
        <c:ser>
          <c:idx val="0"/>
          <c:order val="0"/>
          <c:tx>
            <c:strRef>
              <c:f>'Bode Plot Data'!$O$14</c:f>
              <c:strCache>
                <c:ptCount val="1"/>
                <c:pt idx="0">
                  <c:v>IT2(s)I (dB)</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noFill/>
              </a:ln>
            </c:spPr>
          </c:marker>
          <c:xVal>
            <c:numRef>
              <c:f>'Bode Plot Data'!$J$15:$J$140</c:f>
              <c:numCache/>
            </c:numRef>
          </c:xVal>
          <c:yVal>
            <c:numRef>
              <c:f>'Bode Plot Data'!$O$15:$O$140</c:f>
              <c:numCache/>
            </c:numRef>
          </c:yVal>
          <c:smooth val="1"/>
        </c:ser>
        <c:axId val="824091"/>
        <c:axId val="10713184"/>
      </c:scatterChart>
      <c:valAx>
        <c:axId val="824091"/>
        <c:scaling>
          <c:logBase val="10"/>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Frequency (Hz)</a:t>
                </a:r>
              </a:p>
            </c:rich>
          </c:tx>
          <c:layout>
            <c:manualLayout>
              <c:xMode val="factor"/>
              <c:yMode val="factor"/>
              <c:x val="0.00575"/>
              <c:y val="0.0015"/>
            </c:manualLayout>
          </c:layout>
          <c:overlay val="0"/>
          <c:spPr>
            <a:noFill/>
            <a:ln>
              <a:noFill/>
            </a:ln>
          </c:spPr>
        </c:title>
        <c:majorGridlines>
          <c:spPr>
            <a:ln w="3175">
              <a:solidFill>
                <a:srgbClr val="000000"/>
              </a:solidFill>
              <a:prstDash val="sysDot"/>
            </a:ln>
          </c:spPr>
        </c:majorGridlines>
        <c:minorGridlines>
          <c:spPr>
            <a:ln w="3175">
              <a:solidFill>
                <a:srgbClr val="000000"/>
              </a:solidFill>
              <a:prstDash val="sysDot"/>
            </a:ln>
          </c:spPr>
        </c:minorGridlines>
        <c:delete val="0"/>
        <c:numFmt formatCode="General" sourceLinked="1"/>
        <c:majorTickMark val="out"/>
        <c:minorTickMark val="out"/>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0713184"/>
        <c:crossesAt val="-120"/>
        <c:crossBetween val="midCat"/>
        <c:dispUnits/>
      </c:valAx>
      <c:valAx>
        <c:axId val="1071318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Magnitude (dB)</a:t>
                </a:r>
              </a:p>
            </c:rich>
          </c:tx>
          <c:layout>
            <c:manualLayout>
              <c:xMode val="factor"/>
              <c:yMode val="factor"/>
              <c:x val="0.00175"/>
              <c:y val="-0.002"/>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out"/>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824091"/>
        <c:crossesAt val="0.1"/>
        <c:crossBetween val="midCat"/>
        <c:dispUnits/>
      </c:valAx>
      <c:spPr>
        <a:noFill/>
        <a:ln w="12700">
          <a:solidFill>
            <a:srgbClr val="808080"/>
          </a:solidFill>
        </a:ln>
      </c:spPr>
    </c:plotArea>
    <c:legend>
      <c:legendPos val="r"/>
      <c:layout>
        <c:manualLayout>
          <c:xMode val="edge"/>
          <c:yMode val="edge"/>
          <c:x val="0.755"/>
          <c:y val="0.16575"/>
          <c:w val="0.174"/>
          <c:h val="0.06"/>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Loop Gain Bode Plot - Phase</a:t>
            </a:r>
          </a:p>
        </c:rich>
      </c:tx>
      <c:layout>
        <c:manualLayout>
          <c:xMode val="factor"/>
          <c:yMode val="factor"/>
          <c:x val="0"/>
          <c:y val="0"/>
        </c:manualLayout>
      </c:layout>
      <c:spPr>
        <a:noFill/>
        <a:ln>
          <a:noFill/>
        </a:ln>
      </c:spPr>
    </c:title>
    <c:plotArea>
      <c:layout>
        <c:manualLayout>
          <c:xMode val="edge"/>
          <c:yMode val="edge"/>
          <c:x val="0.02425"/>
          <c:y val="0.0805"/>
          <c:w val="0.9605"/>
          <c:h val="0.8705"/>
        </c:manualLayout>
      </c:layout>
      <c:scatterChart>
        <c:scatterStyle val="smoothMarker"/>
        <c:varyColors val="0"/>
        <c:ser>
          <c:idx val="0"/>
          <c:order val="0"/>
          <c:tx>
            <c:strRef>
              <c:f>'Bode Plot Data'!$P$14</c:f>
              <c:strCache>
                <c:ptCount val="1"/>
                <c:pt idx="0">
                  <c:v>P(T2(s)) (deg)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'Bode Plot Data'!$J$15:$J$140</c:f>
              <c:numCache/>
            </c:numRef>
          </c:xVal>
          <c:yVal>
            <c:numRef>
              <c:f>'Bode Plot Data'!$P$15:$P$140</c:f>
              <c:numCache/>
            </c:numRef>
          </c:yVal>
          <c:smooth val="1"/>
        </c:ser>
        <c:axId val="5053665"/>
        <c:axId val="65697646"/>
      </c:scatterChart>
      <c:valAx>
        <c:axId val="5053665"/>
        <c:scaling>
          <c:logBase val="10"/>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Frequency (Hz)</a:t>
                </a:r>
              </a:p>
            </c:rich>
          </c:tx>
          <c:layout>
            <c:manualLayout>
              <c:xMode val="factor"/>
              <c:yMode val="factor"/>
              <c:x val="0.005"/>
              <c:y val="0.0015"/>
            </c:manualLayout>
          </c:layout>
          <c:overlay val="0"/>
          <c:spPr>
            <a:noFill/>
            <a:ln>
              <a:noFill/>
            </a:ln>
          </c:spPr>
        </c:title>
        <c:majorGridlines>
          <c:spPr>
            <a:ln w="3175">
              <a:solidFill>
                <a:srgbClr val="000000"/>
              </a:solidFill>
              <a:prstDash val="sysDot"/>
            </a:ln>
          </c:spPr>
        </c:majorGridlines>
        <c:minorGridlines>
          <c:spPr>
            <a:ln w="3175">
              <a:solidFill>
                <a:srgbClr val="000000"/>
              </a:solidFill>
              <a:prstDash val="sysDot"/>
            </a:ln>
          </c:spPr>
        </c:minorGridlines>
        <c:delete val="0"/>
        <c:numFmt formatCode="General" sourceLinked="1"/>
        <c:majorTickMark val="out"/>
        <c:minorTickMark val="out"/>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5697646"/>
        <c:crossesAt val="-120"/>
        <c:crossBetween val="midCat"/>
        <c:dispUnits/>
      </c:valAx>
      <c:valAx>
        <c:axId val="6569764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Phase (deg)</a:t>
                </a:r>
              </a:p>
            </c:rich>
          </c:tx>
          <c:layout>
            <c:manualLayout>
              <c:xMode val="factor"/>
              <c:yMode val="factor"/>
              <c:x val="0.00225"/>
              <c:y val="-0.002"/>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out"/>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053665"/>
        <c:crossesAt val="0.1"/>
        <c:crossBetween val="midCat"/>
        <c:dispUnits/>
      </c:valAx>
      <c:spPr>
        <a:noFill/>
        <a:ln w="12700">
          <a:solidFill>
            <a:srgbClr val="808080"/>
          </a:solidFill>
        </a:ln>
      </c:spPr>
    </c:plotArea>
    <c:legend>
      <c:legendPos val="r"/>
      <c:layout>
        <c:manualLayout>
          <c:xMode val="edge"/>
          <c:yMode val="edge"/>
          <c:x val="0.7415"/>
          <c:y val="0.16725"/>
          <c:w val="0.201"/>
          <c:h val="0.060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 Id="rId3" Type="http://schemas.openxmlformats.org/officeDocument/2006/relationships/image" Target="../media/image5.emf"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 Id="rId3" Type="http://schemas.openxmlformats.org/officeDocument/2006/relationships/chart" Target="/xl/charts/chart1.xml" /><Relationship Id="rId4"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 Id="rId3" Type="http://schemas.openxmlformats.org/officeDocument/2006/relationships/chart" Target="/xl/charts/chart3.xml" /><Relationship Id="rId4" Type="http://schemas.openxmlformats.org/officeDocument/2006/relationships/chart" Target="/xl/charts/chart4.xml" /></Relationships>
</file>

<file path=xl/drawings/_rels/vmlDrawing5.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19050</xdr:rowOff>
    </xdr:from>
    <xdr:to>
      <xdr:col>0</xdr:col>
      <xdr:colOff>1438275</xdr:colOff>
      <xdr:row>0</xdr:row>
      <xdr:rowOff>476250</xdr:rowOff>
    </xdr:to>
    <xdr:pic>
      <xdr:nvPicPr>
        <xdr:cNvPr id="1" name="Picture 3"/>
        <xdr:cNvPicPr preferRelativeResize="1">
          <a:picLocks noChangeAspect="1"/>
        </xdr:cNvPicPr>
      </xdr:nvPicPr>
      <xdr:blipFill>
        <a:blip r:embed="rId1"/>
        <a:stretch>
          <a:fillRect/>
        </a:stretch>
      </xdr:blipFill>
      <xdr:spPr>
        <a:xfrm>
          <a:off x="28575" y="19050"/>
          <a:ext cx="1409700" cy="457200"/>
        </a:xfrm>
        <a:prstGeom prst="rect">
          <a:avLst/>
        </a:prstGeom>
        <a:noFill/>
        <a:ln w="1" cmpd="sng">
          <a:noFill/>
        </a:ln>
      </xdr:spPr>
    </xdr:pic>
    <xdr:clientData/>
  </xdr:twoCellAnchor>
  <xdr:twoCellAnchor editAs="oneCell">
    <xdr:from>
      <xdr:col>3</xdr:col>
      <xdr:colOff>2228850</xdr:colOff>
      <xdr:row>0</xdr:row>
      <xdr:rowOff>28575</xdr:rowOff>
    </xdr:from>
    <xdr:to>
      <xdr:col>3</xdr:col>
      <xdr:colOff>2714625</xdr:colOff>
      <xdr:row>0</xdr:row>
      <xdr:rowOff>485775</xdr:rowOff>
    </xdr:to>
    <xdr:pic>
      <xdr:nvPicPr>
        <xdr:cNvPr id="2" name="Picture 4"/>
        <xdr:cNvPicPr preferRelativeResize="1">
          <a:picLocks noChangeAspect="1"/>
        </xdr:cNvPicPr>
      </xdr:nvPicPr>
      <xdr:blipFill>
        <a:blip r:embed="rId2"/>
        <a:stretch>
          <a:fillRect/>
        </a:stretch>
      </xdr:blipFill>
      <xdr:spPr>
        <a:xfrm>
          <a:off x="6238875" y="28575"/>
          <a:ext cx="485775" cy="4572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19050</xdr:rowOff>
    </xdr:from>
    <xdr:to>
      <xdr:col>0</xdr:col>
      <xdr:colOff>1438275</xdr:colOff>
      <xdr:row>0</xdr:row>
      <xdr:rowOff>476250</xdr:rowOff>
    </xdr:to>
    <xdr:pic>
      <xdr:nvPicPr>
        <xdr:cNvPr id="1" name="Picture 10"/>
        <xdr:cNvPicPr preferRelativeResize="1">
          <a:picLocks noChangeAspect="1"/>
        </xdr:cNvPicPr>
      </xdr:nvPicPr>
      <xdr:blipFill>
        <a:blip r:embed="rId1"/>
        <a:stretch>
          <a:fillRect/>
        </a:stretch>
      </xdr:blipFill>
      <xdr:spPr>
        <a:xfrm>
          <a:off x="28575" y="19050"/>
          <a:ext cx="1409700" cy="457200"/>
        </a:xfrm>
        <a:prstGeom prst="rect">
          <a:avLst/>
        </a:prstGeom>
        <a:noFill/>
        <a:ln w="1" cmpd="sng">
          <a:noFill/>
        </a:ln>
      </xdr:spPr>
    </xdr:pic>
    <xdr:clientData/>
  </xdr:twoCellAnchor>
  <xdr:twoCellAnchor editAs="oneCell">
    <xdr:from>
      <xdr:col>6</xdr:col>
      <xdr:colOff>114300</xdr:colOff>
      <xdr:row>0</xdr:row>
      <xdr:rowOff>0</xdr:rowOff>
    </xdr:from>
    <xdr:to>
      <xdr:col>6</xdr:col>
      <xdr:colOff>600075</xdr:colOff>
      <xdr:row>0</xdr:row>
      <xdr:rowOff>457200</xdr:rowOff>
    </xdr:to>
    <xdr:pic>
      <xdr:nvPicPr>
        <xdr:cNvPr id="2" name="Picture 12"/>
        <xdr:cNvPicPr preferRelativeResize="1">
          <a:picLocks noChangeAspect="1"/>
        </xdr:cNvPicPr>
      </xdr:nvPicPr>
      <xdr:blipFill>
        <a:blip r:embed="rId2"/>
        <a:stretch>
          <a:fillRect/>
        </a:stretch>
      </xdr:blipFill>
      <xdr:spPr>
        <a:xfrm>
          <a:off x="6600825" y="0"/>
          <a:ext cx="485775" cy="45720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19050</xdr:rowOff>
    </xdr:from>
    <xdr:to>
      <xdr:col>1</xdr:col>
      <xdr:colOff>276225</xdr:colOff>
      <xdr:row>0</xdr:row>
      <xdr:rowOff>476250</xdr:rowOff>
    </xdr:to>
    <xdr:pic>
      <xdr:nvPicPr>
        <xdr:cNvPr id="1" name="Picture 23"/>
        <xdr:cNvPicPr preferRelativeResize="1">
          <a:picLocks noChangeAspect="1"/>
        </xdr:cNvPicPr>
      </xdr:nvPicPr>
      <xdr:blipFill>
        <a:blip r:embed="rId1"/>
        <a:stretch>
          <a:fillRect/>
        </a:stretch>
      </xdr:blipFill>
      <xdr:spPr>
        <a:xfrm>
          <a:off x="28575" y="19050"/>
          <a:ext cx="1409700" cy="457200"/>
        </a:xfrm>
        <a:prstGeom prst="rect">
          <a:avLst/>
        </a:prstGeom>
        <a:noFill/>
        <a:ln w="1" cmpd="sng">
          <a:noFill/>
        </a:ln>
      </xdr:spPr>
    </xdr:pic>
    <xdr:clientData/>
  </xdr:twoCellAnchor>
  <xdr:twoCellAnchor editAs="oneCell">
    <xdr:from>
      <xdr:col>6</xdr:col>
      <xdr:colOff>523875</xdr:colOff>
      <xdr:row>0</xdr:row>
      <xdr:rowOff>0</xdr:rowOff>
    </xdr:from>
    <xdr:to>
      <xdr:col>6</xdr:col>
      <xdr:colOff>1009650</xdr:colOff>
      <xdr:row>0</xdr:row>
      <xdr:rowOff>457200</xdr:rowOff>
    </xdr:to>
    <xdr:pic>
      <xdr:nvPicPr>
        <xdr:cNvPr id="2" name="Picture 24"/>
        <xdr:cNvPicPr preferRelativeResize="1">
          <a:picLocks noChangeAspect="1"/>
        </xdr:cNvPicPr>
      </xdr:nvPicPr>
      <xdr:blipFill>
        <a:blip r:embed="rId2"/>
        <a:stretch>
          <a:fillRect/>
        </a:stretch>
      </xdr:blipFill>
      <xdr:spPr>
        <a:xfrm>
          <a:off x="6515100" y="0"/>
          <a:ext cx="485775" cy="45720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19050</xdr:rowOff>
    </xdr:from>
    <xdr:to>
      <xdr:col>0</xdr:col>
      <xdr:colOff>1447800</xdr:colOff>
      <xdr:row>0</xdr:row>
      <xdr:rowOff>476250</xdr:rowOff>
    </xdr:to>
    <xdr:pic>
      <xdr:nvPicPr>
        <xdr:cNvPr id="1" name="Picture 2"/>
        <xdr:cNvPicPr preferRelativeResize="1">
          <a:picLocks noChangeAspect="1"/>
        </xdr:cNvPicPr>
      </xdr:nvPicPr>
      <xdr:blipFill>
        <a:blip r:embed="rId1"/>
        <a:stretch>
          <a:fillRect/>
        </a:stretch>
      </xdr:blipFill>
      <xdr:spPr>
        <a:xfrm>
          <a:off x="28575" y="19050"/>
          <a:ext cx="1419225" cy="457200"/>
        </a:xfrm>
        <a:prstGeom prst="rect">
          <a:avLst/>
        </a:prstGeom>
        <a:noFill/>
        <a:ln w="1" cmpd="sng">
          <a:noFill/>
        </a:ln>
      </xdr:spPr>
    </xdr:pic>
    <xdr:clientData/>
  </xdr:twoCellAnchor>
  <xdr:twoCellAnchor editAs="oneCell">
    <xdr:from>
      <xdr:col>6</xdr:col>
      <xdr:colOff>323850</xdr:colOff>
      <xdr:row>0</xdr:row>
      <xdr:rowOff>0</xdr:rowOff>
    </xdr:from>
    <xdr:to>
      <xdr:col>6</xdr:col>
      <xdr:colOff>809625</xdr:colOff>
      <xdr:row>0</xdr:row>
      <xdr:rowOff>457200</xdr:rowOff>
    </xdr:to>
    <xdr:pic>
      <xdr:nvPicPr>
        <xdr:cNvPr id="2" name="Picture 3"/>
        <xdr:cNvPicPr preferRelativeResize="1">
          <a:picLocks noChangeAspect="1"/>
        </xdr:cNvPicPr>
      </xdr:nvPicPr>
      <xdr:blipFill>
        <a:blip r:embed="rId2"/>
        <a:stretch>
          <a:fillRect/>
        </a:stretch>
      </xdr:blipFill>
      <xdr:spPr>
        <a:xfrm>
          <a:off x="6877050" y="0"/>
          <a:ext cx="485775" cy="457200"/>
        </a:xfrm>
        <a:prstGeom prst="rect">
          <a:avLst/>
        </a:prstGeom>
        <a:noFill/>
        <a:ln w="1" cmpd="sng">
          <a:noFill/>
        </a:ln>
      </xdr:spPr>
    </xdr:pic>
    <xdr:clientData/>
  </xdr:twoCellAnchor>
  <xdr:twoCellAnchor editAs="oneCell">
    <xdr:from>
      <xdr:col>0</xdr:col>
      <xdr:colOff>28575</xdr:colOff>
      <xdr:row>5</xdr:row>
      <xdr:rowOff>0</xdr:rowOff>
    </xdr:from>
    <xdr:to>
      <xdr:col>6</xdr:col>
      <xdr:colOff>838200</xdr:colOff>
      <xdr:row>27</xdr:row>
      <xdr:rowOff>0</xdr:rowOff>
    </xdr:to>
    <xdr:pic>
      <xdr:nvPicPr>
        <xdr:cNvPr id="3" name="Picture 25"/>
        <xdr:cNvPicPr preferRelativeResize="1">
          <a:picLocks noChangeAspect="1"/>
        </xdr:cNvPicPr>
      </xdr:nvPicPr>
      <xdr:blipFill>
        <a:blip r:embed="rId3"/>
        <a:stretch>
          <a:fillRect/>
        </a:stretch>
      </xdr:blipFill>
      <xdr:spPr>
        <a:xfrm>
          <a:off x="28575" y="1600200"/>
          <a:ext cx="7362825" cy="3562350"/>
        </a:xfrm>
        <a:prstGeom prst="rect">
          <a:avLst/>
        </a:prstGeom>
        <a:solidFill>
          <a:srgbClr val="FFFFFF"/>
        </a:solid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19050</xdr:rowOff>
    </xdr:from>
    <xdr:to>
      <xdr:col>0</xdr:col>
      <xdr:colOff>1447800</xdr:colOff>
      <xdr:row>0</xdr:row>
      <xdr:rowOff>476250</xdr:rowOff>
    </xdr:to>
    <xdr:pic>
      <xdr:nvPicPr>
        <xdr:cNvPr id="1" name="Picture 1"/>
        <xdr:cNvPicPr preferRelativeResize="1">
          <a:picLocks noChangeAspect="1"/>
        </xdr:cNvPicPr>
      </xdr:nvPicPr>
      <xdr:blipFill>
        <a:blip r:embed="rId1"/>
        <a:stretch>
          <a:fillRect/>
        </a:stretch>
      </xdr:blipFill>
      <xdr:spPr>
        <a:xfrm>
          <a:off x="28575" y="19050"/>
          <a:ext cx="1419225" cy="457200"/>
        </a:xfrm>
        <a:prstGeom prst="rect">
          <a:avLst/>
        </a:prstGeom>
        <a:noFill/>
        <a:ln w="1" cmpd="sng">
          <a:noFill/>
        </a:ln>
      </xdr:spPr>
    </xdr:pic>
    <xdr:clientData/>
  </xdr:twoCellAnchor>
  <xdr:twoCellAnchor editAs="oneCell">
    <xdr:from>
      <xdr:col>7</xdr:col>
      <xdr:colOff>323850</xdr:colOff>
      <xdr:row>0</xdr:row>
      <xdr:rowOff>0</xdr:rowOff>
    </xdr:from>
    <xdr:to>
      <xdr:col>7</xdr:col>
      <xdr:colOff>809625</xdr:colOff>
      <xdr:row>0</xdr:row>
      <xdr:rowOff>457200</xdr:rowOff>
    </xdr:to>
    <xdr:pic>
      <xdr:nvPicPr>
        <xdr:cNvPr id="2" name="Picture 2"/>
        <xdr:cNvPicPr preferRelativeResize="1">
          <a:picLocks noChangeAspect="1"/>
        </xdr:cNvPicPr>
      </xdr:nvPicPr>
      <xdr:blipFill>
        <a:blip r:embed="rId2"/>
        <a:stretch>
          <a:fillRect/>
        </a:stretch>
      </xdr:blipFill>
      <xdr:spPr>
        <a:xfrm>
          <a:off x="6096000" y="0"/>
          <a:ext cx="485775" cy="457200"/>
        </a:xfrm>
        <a:prstGeom prst="rect">
          <a:avLst/>
        </a:prstGeom>
        <a:noFill/>
        <a:ln w="1" cmpd="sng">
          <a:noFill/>
        </a:ln>
      </xdr:spPr>
    </xdr:pic>
    <xdr:clientData/>
  </xdr:twoCellAnchor>
  <xdr:twoCellAnchor>
    <xdr:from>
      <xdr:col>0</xdr:col>
      <xdr:colOff>838200</xdr:colOff>
      <xdr:row>6</xdr:row>
      <xdr:rowOff>85725</xdr:rowOff>
    </xdr:from>
    <xdr:to>
      <xdr:col>7</xdr:col>
      <xdr:colOff>9525</xdr:colOff>
      <xdr:row>26</xdr:row>
      <xdr:rowOff>123825</xdr:rowOff>
    </xdr:to>
    <xdr:graphicFrame>
      <xdr:nvGraphicFramePr>
        <xdr:cNvPr id="3" name="Chart 23"/>
        <xdr:cNvGraphicFramePr/>
      </xdr:nvGraphicFramePr>
      <xdr:xfrm>
        <a:off x="838200" y="1438275"/>
        <a:ext cx="4943475" cy="3276600"/>
      </xdr:xfrm>
      <a:graphic>
        <a:graphicData uri="http://schemas.openxmlformats.org/drawingml/2006/chart">
          <c:chart xmlns:c="http://schemas.openxmlformats.org/drawingml/2006/chart" r:id="rId3"/>
        </a:graphicData>
      </a:graphic>
    </xdr:graphicFrame>
    <xdr:clientData/>
  </xdr:twoCellAnchor>
  <xdr:twoCellAnchor>
    <xdr:from>
      <xdr:col>0</xdr:col>
      <xdr:colOff>838200</xdr:colOff>
      <xdr:row>26</xdr:row>
      <xdr:rowOff>123825</xdr:rowOff>
    </xdr:from>
    <xdr:to>
      <xdr:col>7</xdr:col>
      <xdr:colOff>9525</xdr:colOff>
      <xdr:row>50</xdr:row>
      <xdr:rowOff>76200</xdr:rowOff>
    </xdr:to>
    <xdr:graphicFrame>
      <xdr:nvGraphicFramePr>
        <xdr:cNvPr id="4" name="Chart 24"/>
        <xdr:cNvGraphicFramePr/>
      </xdr:nvGraphicFramePr>
      <xdr:xfrm>
        <a:off x="838200" y="4714875"/>
        <a:ext cx="4943475" cy="3276600"/>
      </xdr:xfrm>
      <a:graphic>
        <a:graphicData uri="http://schemas.openxmlformats.org/drawingml/2006/chart">
          <c:chart xmlns:c="http://schemas.openxmlformats.org/drawingml/2006/chart" r:id="rId4"/>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19050</xdr:rowOff>
    </xdr:from>
    <xdr:to>
      <xdr:col>0</xdr:col>
      <xdr:colOff>1438275</xdr:colOff>
      <xdr:row>0</xdr:row>
      <xdr:rowOff>476250</xdr:rowOff>
    </xdr:to>
    <xdr:pic>
      <xdr:nvPicPr>
        <xdr:cNvPr id="1" name="Picture 10"/>
        <xdr:cNvPicPr preferRelativeResize="1">
          <a:picLocks noChangeAspect="1"/>
        </xdr:cNvPicPr>
      </xdr:nvPicPr>
      <xdr:blipFill>
        <a:blip r:embed="rId1"/>
        <a:stretch>
          <a:fillRect/>
        </a:stretch>
      </xdr:blipFill>
      <xdr:spPr>
        <a:xfrm>
          <a:off x="28575" y="19050"/>
          <a:ext cx="1409700" cy="457200"/>
        </a:xfrm>
        <a:prstGeom prst="rect">
          <a:avLst/>
        </a:prstGeom>
        <a:noFill/>
        <a:ln w="1" cmpd="sng">
          <a:noFill/>
        </a:ln>
      </xdr:spPr>
    </xdr:pic>
    <xdr:clientData/>
  </xdr:twoCellAnchor>
  <xdr:twoCellAnchor editAs="oneCell">
    <xdr:from>
      <xdr:col>6</xdr:col>
      <xdr:colOff>114300</xdr:colOff>
      <xdr:row>0</xdr:row>
      <xdr:rowOff>0</xdr:rowOff>
    </xdr:from>
    <xdr:to>
      <xdr:col>6</xdr:col>
      <xdr:colOff>600075</xdr:colOff>
      <xdr:row>0</xdr:row>
      <xdr:rowOff>457200</xdr:rowOff>
    </xdr:to>
    <xdr:pic>
      <xdr:nvPicPr>
        <xdr:cNvPr id="2" name="Picture 12"/>
        <xdr:cNvPicPr preferRelativeResize="1">
          <a:picLocks noChangeAspect="1"/>
        </xdr:cNvPicPr>
      </xdr:nvPicPr>
      <xdr:blipFill>
        <a:blip r:embed="rId2"/>
        <a:stretch>
          <a:fillRect/>
        </a:stretch>
      </xdr:blipFill>
      <xdr:spPr>
        <a:xfrm>
          <a:off x="6600825" y="0"/>
          <a:ext cx="485775" cy="457200"/>
        </a:xfrm>
        <a:prstGeom prst="rect">
          <a:avLst/>
        </a:prstGeom>
        <a:noFill/>
        <a:ln w="1"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19050</xdr:rowOff>
    </xdr:from>
    <xdr:to>
      <xdr:col>2</xdr:col>
      <xdr:colOff>123825</xdr:colOff>
      <xdr:row>2</xdr:row>
      <xdr:rowOff>152400</xdr:rowOff>
    </xdr:to>
    <xdr:pic>
      <xdr:nvPicPr>
        <xdr:cNvPr id="1" name="Picture 1"/>
        <xdr:cNvPicPr preferRelativeResize="1">
          <a:picLocks noChangeAspect="1"/>
        </xdr:cNvPicPr>
      </xdr:nvPicPr>
      <xdr:blipFill>
        <a:blip r:embed="rId1"/>
        <a:stretch>
          <a:fillRect/>
        </a:stretch>
      </xdr:blipFill>
      <xdr:spPr>
        <a:xfrm>
          <a:off x="28575" y="19050"/>
          <a:ext cx="1419225" cy="457200"/>
        </a:xfrm>
        <a:prstGeom prst="rect">
          <a:avLst/>
        </a:prstGeom>
        <a:noFill/>
        <a:ln w="1" cmpd="sng">
          <a:noFill/>
        </a:ln>
      </xdr:spPr>
    </xdr:pic>
    <xdr:clientData/>
  </xdr:twoCellAnchor>
  <xdr:twoCellAnchor editAs="oneCell">
    <xdr:from>
      <xdr:col>8</xdr:col>
      <xdr:colOff>95250</xdr:colOff>
      <xdr:row>0</xdr:row>
      <xdr:rowOff>19050</xdr:rowOff>
    </xdr:from>
    <xdr:to>
      <xdr:col>8</xdr:col>
      <xdr:colOff>581025</xdr:colOff>
      <xdr:row>2</xdr:row>
      <xdr:rowOff>152400</xdr:rowOff>
    </xdr:to>
    <xdr:pic>
      <xdr:nvPicPr>
        <xdr:cNvPr id="2" name="Picture 2"/>
        <xdr:cNvPicPr preferRelativeResize="1">
          <a:picLocks noChangeAspect="1"/>
        </xdr:cNvPicPr>
      </xdr:nvPicPr>
      <xdr:blipFill>
        <a:blip r:embed="rId2"/>
        <a:stretch>
          <a:fillRect/>
        </a:stretch>
      </xdr:blipFill>
      <xdr:spPr>
        <a:xfrm>
          <a:off x="5248275" y="19050"/>
          <a:ext cx="485775" cy="457200"/>
        </a:xfrm>
        <a:prstGeom prst="rect">
          <a:avLst/>
        </a:prstGeom>
        <a:noFill/>
        <a:ln w="1" cmpd="sng">
          <a:noFill/>
        </a:ln>
      </xdr:spPr>
    </xdr:pic>
    <xdr:clientData/>
  </xdr:twoCellAnchor>
  <xdr:twoCellAnchor>
    <xdr:from>
      <xdr:col>0</xdr:col>
      <xdr:colOff>0</xdr:colOff>
      <xdr:row>5</xdr:row>
      <xdr:rowOff>0</xdr:rowOff>
    </xdr:from>
    <xdr:to>
      <xdr:col>8</xdr:col>
      <xdr:colOff>571500</xdr:colOff>
      <xdr:row>26</xdr:row>
      <xdr:rowOff>19050</xdr:rowOff>
    </xdr:to>
    <xdr:graphicFrame>
      <xdr:nvGraphicFramePr>
        <xdr:cNvPr id="3" name="Chart 3"/>
        <xdr:cNvGraphicFramePr/>
      </xdr:nvGraphicFramePr>
      <xdr:xfrm>
        <a:off x="0" y="809625"/>
        <a:ext cx="5724525" cy="34194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26</xdr:row>
      <xdr:rowOff>19050</xdr:rowOff>
    </xdr:from>
    <xdr:to>
      <xdr:col>8</xdr:col>
      <xdr:colOff>571500</xdr:colOff>
      <xdr:row>47</xdr:row>
      <xdr:rowOff>9525</xdr:rowOff>
    </xdr:to>
    <xdr:graphicFrame>
      <xdr:nvGraphicFramePr>
        <xdr:cNvPr id="4" name="Chart 4"/>
        <xdr:cNvGraphicFramePr/>
      </xdr:nvGraphicFramePr>
      <xdr:xfrm>
        <a:off x="0" y="4229100"/>
        <a:ext cx="5724525" cy="33909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package" Target="../embeddings/MBD000BC7F2.xlsx" /><Relationship Id="rId3" Type="http://schemas.openxmlformats.org/officeDocument/2006/relationships/package" Target="../embeddings/MBD000BC7F3.xlsx" /><Relationship Id="rId4" Type="http://schemas.openxmlformats.org/officeDocument/2006/relationships/vmlDrawing" Target="../drawings/vmlDrawing5.vml" /><Relationship Id="rId5" Type="http://schemas.openxmlformats.org/officeDocument/2006/relationships/drawing" Target="../drawings/drawing6.xml" /><Relationship Id="rId6"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
  <sheetViews>
    <sheetView zoomScalePageLayoutView="0" workbookViewId="0" topLeftCell="A1">
      <selection activeCell="C2" sqref="C2"/>
    </sheetView>
  </sheetViews>
  <sheetFormatPr defaultColWidth="9.140625" defaultRowHeight="12.75"/>
  <cols>
    <col min="2" max="2" width="10.140625" style="0" bestFit="1" customWidth="1"/>
  </cols>
  <sheetData>
    <row r="1" spans="1:2" ht="12.75">
      <c r="A1" t="s">
        <v>89</v>
      </c>
      <c r="B1" s="140">
        <v>3</v>
      </c>
    </row>
    <row r="2" spans="1:2" ht="12.75">
      <c r="A2" t="s">
        <v>90</v>
      </c>
      <c r="B2" s="51">
        <v>40330</v>
      </c>
    </row>
    <row r="3" spans="1:2" ht="12.75">
      <c r="A3" t="s">
        <v>202</v>
      </c>
      <c r="B3" t="s">
        <v>201</v>
      </c>
    </row>
  </sheetData>
  <sheetProtection password="995D" sheet="1" objects="1" scenarios="1" selectLockedCells="1" selectUnlockedCells="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134"/>
  <sheetViews>
    <sheetView zoomScalePageLayoutView="0" workbookViewId="0" topLeftCell="A1">
      <selection activeCell="A9" sqref="A9"/>
    </sheetView>
  </sheetViews>
  <sheetFormatPr defaultColWidth="9.140625" defaultRowHeight="12.75"/>
  <cols>
    <col min="5" max="5" width="14.57421875" style="0" bestFit="1" customWidth="1"/>
  </cols>
  <sheetData>
    <row r="1" spans="1:5" ht="12.75">
      <c r="A1">
        <v>1</v>
      </c>
      <c r="B1">
        <v>96</v>
      </c>
      <c r="E1" t="s">
        <v>114</v>
      </c>
    </row>
    <row r="2" spans="1:5" ht="12.75">
      <c r="A2">
        <v>2</v>
      </c>
      <c r="B2">
        <v>48</v>
      </c>
      <c r="E2">
        <v>1</v>
      </c>
    </row>
    <row r="3" spans="1:5" ht="12.75">
      <c r="A3">
        <v>5</v>
      </c>
      <c r="B3">
        <v>24</v>
      </c>
      <c r="E3">
        <v>1.1</v>
      </c>
    </row>
    <row r="4" spans="1:5" ht="12.75">
      <c r="A4">
        <v>10</v>
      </c>
      <c r="B4">
        <v>12</v>
      </c>
      <c r="E4">
        <v>1.2</v>
      </c>
    </row>
    <row r="5" ht="12.75">
      <c r="E5">
        <v>1.3</v>
      </c>
    </row>
    <row r="6" ht="12.75">
      <c r="E6">
        <v>1.5</v>
      </c>
    </row>
    <row r="7" spans="1:5" ht="12.75">
      <c r="A7" s="238" t="s">
        <v>118</v>
      </c>
      <c r="B7" s="238"/>
      <c r="C7" s="238"/>
      <c r="E7">
        <v>1.6</v>
      </c>
    </row>
    <row r="8" spans="1:5" ht="12.75">
      <c r="A8" s="55" t="s">
        <v>115</v>
      </c>
      <c r="B8" s="55" t="s">
        <v>116</v>
      </c>
      <c r="C8" s="55" t="s">
        <v>117</v>
      </c>
      <c r="E8">
        <v>1.8</v>
      </c>
    </row>
    <row r="9" spans="1:5" ht="12.75">
      <c r="A9" s="56">
        <v>3643</v>
      </c>
      <c r="B9" s="53">
        <f>MROUND(10^FLOOR(LOG(A9),1)*10^(FLOOR(96*LOG(A9/(10^(FLOOR(LOG(A9),1)))),1)/96),10^FLOOR(LOG(A9),1)/100)</f>
        <v>3570</v>
      </c>
      <c r="C9" s="53">
        <f>MROUND(10^FLOOR(LOG(A9),1)*10^(CEILING(96*LOG(A9/(10^(FLOOR(LOG(A9),1)))),1)/96),10^FLOOR(LOG(A9),1)/100)</f>
        <v>3650</v>
      </c>
      <c r="E9">
        <v>2</v>
      </c>
    </row>
    <row r="10" ht="12.75">
      <c r="E10">
        <v>2.2</v>
      </c>
    </row>
    <row r="11" ht="12.75">
      <c r="E11">
        <v>2.4</v>
      </c>
    </row>
    <row r="12" ht="12.75">
      <c r="E12">
        <v>2.7</v>
      </c>
    </row>
    <row r="13" ht="12.75">
      <c r="E13">
        <v>3</v>
      </c>
    </row>
    <row r="14" ht="12.75">
      <c r="E14">
        <v>3.3</v>
      </c>
    </row>
    <row r="15" ht="12.75">
      <c r="E15">
        <v>3.6</v>
      </c>
    </row>
    <row r="16" ht="12.75">
      <c r="E16">
        <v>3.9</v>
      </c>
    </row>
    <row r="17" ht="12.75">
      <c r="E17">
        <v>4.3</v>
      </c>
    </row>
    <row r="18" ht="12.75">
      <c r="E18">
        <v>4.7</v>
      </c>
    </row>
    <row r="19" ht="12.75">
      <c r="E19">
        <v>5.1</v>
      </c>
    </row>
    <row r="20" ht="12.75">
      <c r="E20">
        <v>5.6</v>
      </c>
    </row>
    <row r="21" ht="12.75">
      <c r="E21">
        <v>6.2</v>
      </c>
    </row>
    <row r="22" ht="12.75">
      <c r="E22">
        <v>6.8</v>
      </c>
    </row>
    <row r="23" ht="12.75">
      <c r="E23">
        <v>7.5</v>
      </c>
    </row>
    <row r="24" ht="12.75">
      <c r="E24">
        <v>8.2</v>
      </c>
    </row>
    <row r="25" ht="12.75">
      <c r="E25">
        <v>9.1</v>
      </c>
    </row>
    <row r="26" ht="12.75">
      <c r="E26">
        <v>10</v>
      </c>
    </row>
    <row r="27" ht="12.75">
      <c r="E27">
        <v>11</v>
      </c>
    </row>
    <row r="28" ht="12.75">
      <c r="E28">
        <v>12</v>
      </c>
    </row>
    <row r="29" ht="12.75">
      <c r="E29">
        <v>13</v>
      </c>
    </row>
    <row r="30" ht="12.75">
      <c r="E30">
        <v>15</v>
      </c>
    </row>
    <row r="31" ht="12.75">
      <c r="E31">
        <v>16</v>
      </c>
    </row>
    <row r="32" ht="12.75">
      <c r="E32">
        <v>18</v>
      </c>
    </row>
    <row r="33" ht="12.75">
      <c r="E33">
        <v>20</v>
      </c>
    </row>
    <row r="34" ht="12.75">
      <c r="E34">
        <v>22</v>
      </c>
    </row>
    <row r="35" ht="12.75">
      <c r="E35">
        <v>24</v>
      </c>
    </row>
    <row r="36" ht="12.75">
      <c r="E36">
        <v>27</v>
      </c>
    </row>
    <row r="37" ht="12.75">
      <c r="E37">
        <v>30</v>
      </c>
    </row>
    <row r="38" ht="12.75">
      <c r="E38">
        <v>33</v>
      </c>
    </row>
    <row r="39" ht="12.75">
      <c r="E39">
        <v>36</v>
      </c>
    </row>
    <row r="40" ht="12.75">
      <c r="E40">
        <v>39</v>
      </c>
    </row>
    <row r="41" ht="12.75">
      <c r="E41">
        <v>43</v>
      </c>
    </row>
    <row r="42" ht="12.75">
      <c r="E42">
        <v>47</v>
      </c>
    </row>
    <row r="43" ht="12.75">
      <c r="E43">
        <v>51</v>
      </c>
    </row>
    <row r="44" ht="12.75">
      <c r="E44">
        <v>56</v>
      </c>
    </row>
    <row r="45" ht="12.75">
      <c r="E45">
        <v>62</v>
      </c>
    </row>
    <row r="46" ht="12.75">
      <c r="E46">
        <v>68</v>
      </c>
    </row>
    <row r="47" ht="12.75">
      <c r="E47">
        <v>75</v>
      </c>
    </row>
    <row r="48" ht="12.75">
      <c r="E48">
        <v>82</v>
      </c>
    </row>
    <row r="49" ht="12.75">
      <c r="E49">
        <v>91</v>
      </c>
    </row>
    <row r="50" ht="12.75">
      <c r="E50">
        <v>100</v>
      </c>
    </row>
    <row r="51" ht="12.75">
      <c r="E51">
        <v>110</v>
      </c>
    </row>
    <row r="52" ht="12.75">
      <c r="E52">
        <v>120</v>
      </c>
    </row>
    <row r="53" ht="12.75">
      <c r="E53">
        <v>130</v>
      </c>
    </row>
    <row r="54" ht="12.75">
      <c r="E54">
        <v>150</v>
      </c>
    </row>
    <row r="55" ht="12.75">
      <c r="E55">
        <v>160</v>
      </c>
    </row>
    <row r="56" ht="12.75">
      <c r="E56">
        <v>180</v>
      </c>
    </row>
    <row r="57" ht="12.75">
      <c r="E57">
        <v>200</v>
      </c>
    </row>
    <row r="58" ht="12.75">
      <c r="E58">
        <v>220</v>
      </c>
    </row>
    <row r="59" ht="12.75">
      <c r="E59">
        <v>240</v>
      </c>
    </row>
    <row r="60" ht="12.75">
      <c r="E60">
        <v>270</v>
      </c>
    </row>
    <row r="61" ht="12.75">
      <c r="E61">
        <v>300</v>
      </c>
    </row>
    <row r="62" ht="12.75">
      <c r="E62">
        <v>330</v>
      </c>
    </row>
    <row r="63" ht="12.75">
      <c r="E63">
        <v>360</v>
      </c>
    </row>
    <row r="64" ht="12.75">
      <c r="E64">
        <v>390</v>
      </c>
    </row>
    <row r="65" ht="12.75">
      <c r="E65">
        <v>430</v>
      </c>
    </row>
    <row r="66" ht="12.75">
      <c r="E66">
        <v>470</v>
      </c>
    </row>
    <row r="67" ht="12.75">
      <c r="E67">
        <v>510</v>
      </c>
    </row>
    <row r="68" ht="12.75">
      <c r="E68">
        <v>560</v>
      </c>
    </row>
    <row r="69" ht="12.75">
      <c r="E69">
        <v>620</v>
      </c>
    </row>
    <row r="70" ht="12.75">
      <c r="E70">
        <v>680</v>
      </c>
    </row>
    <row r="71" ht="12.75">
      <c r="E71">
        <v>750</v>
      </c>
    </row>
    <row r="72" ht="12.75">
      <c r="E72">
        <v>820</v>
      </c>
    </row>
    <row r="73" ht="12.75">
      <c r="E73">
        <v>910</v>
      </c>
    </row>
    <row r="74" ht="12.75">
      <c r="E74">
        <v>1000</v>
      </c>
    </row>
    <row r="75" ht="12.75">
      <c r="E75">
        <v>1100</v>
      </c>
    </row>
    <row r="76" ht="12.75">
      <c r="E76">
        <v>1200</v>
      </c>
    </row>
    <row r="77" ht="12.75">
      <c r="E77">
        <v>1300</v>
      </c>
    </row>
    <row r="78" ht="12.75">
      <c r="E78">
        <v>1500</v>
      </c>
    </row>
    <row r="79" ht="12.75">
      <c r="E79">
        <v>1600</v>
      </c>
    </row>
    <row r="80" ht="12.75">
      <c r="E80">
        <v>1800</v>
      </c>
    </row>
    <row r="81" ht="12.75">
      <c r="E81">
        <v>2000</v>
      </c>
    </row>
    <row r="82" ht="12.75">
      <c r="E82">
        <v>2200</v>
      </c>
    </row>
    <row r="83" ht="12.75">
      <c r="E83">
        <v>2400</v>
      </c>
    </row>
    <row r="84" ht="12.75">
      <c r="E84">
        <v>2700</v>
      </c>
    </row>
    <row r="85" ht="12.75">
      <c r="E85">
        <v>3000</v>
      </c>
    </row>
    <row r="86" ht="12.75">
      <c r="E86">
        <v>3300</v>
      </c>
    </row>
    <row r="87" ht="12.75">
      <c r="E87">
        <v>3600</v>
      </c>
    </row>
    <row r="88" ht="12.75">
      <c r="E88">
        <v>3900</v>
      </c>
    </row>
    <row r="89" ht="12.75">
      <c r="E89">
        <v>4300</v>
      </c>
    </row>
    <row r="90" ht="12.75">
      <c r="E90">
        <v>4700</v>
      </c>
    </row>
    <row r="91" ht="12.75">
      <c r="E91">
        <v>5100</v>
      </c>
    </row>
    <row r="92" ht="12.75">
      <c r="E92">
        <v>5600</v>
      </c>
    </row>
    <row r="93" ht="12.75">
      <c r="E93">
        <v>6200</v>
      </c>
    </row>
    <row r="94" ht="12.75">
      <c r="E94">
        <v>6800</v>
      </c>
    </row>
    <row r="95" ht="12.75">
      <c r="E95">
        <v>7500</v>
      </c>
    </row>
    <row r="96" ht="12.75">
      <c r="E96">
        <v>8200</v>
      </c>
    </row>
    <row r="97" ht="12.75">
      <c r="E97">
        <v>9100</v>
      </c>
    </row>
    <row r="98" ht="12.75">
      <c r="E98">
        <v>10000</v>
      </c>
    </row>
    <row r="99" ht="12.75">
      <c r="E99">
        <v>15000</v>
      </c>
    </row>
    <row r="100" ht="12.75">
      <c r="E100">
        <v>22000</v>
      </c>
    </row>
    <row r="101" ht="12.75">
      <c r="E101">
        <v>33000</v>
      </c>
    </row>
    <row r="102" ht="12.75">
      <c r="E102">
        <v>47000</v>
      </c>
    </row>
    <row r="103" ht="12.75">
      <c r="E103">
        <v>68000</v>
      </c>
    </row>
    <row r="104" ht="12.75">
      <c r="E104">
        <v>100000</v>
      </c>
    </row>
    <row r="105" ht="12.75">
      <c r="E105">
        <v>150000</v>
      </c>
    </row>
    <row r="106" ht="12.75">
      <c r="E106">
        <v>220000</v>
      </c>
    </row>
    <row r="107" ht="12.75">
      <c r="E107">
        <v>330000</v>
      </c>
    </row>
    <row r="108" ht="12.75">
      <c r="E108">
        <v>470000</v>
      </c>
    </row>
    <row r="109" ht="12.75">
      <c r="E109">
        <v>680000</v>
      </c>
    </row>
    <row r="110" ht="12.75">
      <c r="E110">
        <v>1000000</v>
      </c>
    </row>
    <row r="111" ht="12.75">
      <c r="E111">
        <v>1500000</v>
      </c>
    </row>
    <row r="112" ht="12.75">
      <c r="E112">
        <v>2200000</v>
      </c>
    </row>
    <row r="113" ht="12.75">
      <c r="E113">
        <v>3300000</v>
      </c>
    </row>
    <row r="114" ht="12.75">
      <c r="E114">
        <v>4700000</v>
      </c>
    </row>
    <row r="115" ht="12.75">
      <c r="E115">
        <v>6800000</v>
      </c>
    </row>
    <row r="116" ht="12.75">
      <c r="E116">
        <v>10000000</v>
      </c>
    </row>
    <row r="117" ht="12.75">
      <c r="E117">
        <v>15000000</v>
      </c>
    </row>
    <row r="118" ht="12.75">
      <c r="E118">
        <v>22000000</v>
      </c>
    </row>
    <row r="119" ht="12.75">
      <c r="E119">
        <v>33000000</v>
      </c>
    </row>
    <row r="120" ht="12.75">
      <c r="E120">
        <v>47000000</v>
      </c>
    </row>
    <row r="121" ht="12.75">
      <c r="E121">
        <v>68000000</v>
      </c>
    </row>
    <row r="122" ht="12.75">
      <c r="E122">
        <v>100000000</v>
      </c>
    </row>
    <row r="123" ht="12.75">
      <c r="E123">
        <v>150000000</v>
      </c>
    </row>
    <row r="124" ht="12.75">
      <c r="E124">
        <v>220000000</v>
      </c>
    </row>
    <row r="125" ht="12.75">
      <c r="E125">
        <v>330000000</v>
      </c>
    </row>
    <row r="126" ht="12.75">
      <c r="E126">
        <v>470000000</v>
      </c>
    </row>
    <row r="127" ht="12.75">
      <c r="E127">
        <v>680000000</v>
      </c>
    </row>
    <row r="128" ht="12.75">
      <c r="E128">
        <v>1000000000</v>
      </c>
    </row>
    <row r="129" ht="12.75">
      <c r="E129">
        <v>1500000000</v>
      </c>
    </row>
    <row r="130" ht="12.75">
      <c r="E130">
        <v>2200000000</v>
      </c>
    </row>
    <row r="131" ht="12.75">
      <c r="E131">
        <v>3300000000</v>
      </c>
    </row>
    <row r="132" ht="12.75">
      <c r="E132">
        <v>4700000000</v>
      </c>
    </row>
    <row r="133" ht="12.75">
      <c r="E133">
        <v>6800000000</v>
      </c>
    </row>
    <row r="134" ht="12.75">
      <c r="E134">
        <v>10000000000</v>
      </c>
    </row>
  </sheetData>
  <sheetProtection password="995D" sheet="1" objects="1" scenarios="1" selectLockedCells="1" selectUnlockedCells="1"/>
  <mergeCells count="1">
    <mergeCell ref="A7:C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D39"/>
  <sheetViews>
    <sheetView tabSelected="1" zoomScalePageLayoutView="0" workbookViewId="0" topLeftCell="A1">
      <selection activeCell="C34" sqref="C34:D34"/>
    </sheetView>
  </sheetViews>
  <sheetFormatPr defaultColWidth="9.140625" defaultRowHeight="12.75"/>
  <cols>
    <col min="1" max="1" width="32.7109375" style="0" customWidth="1"/>
    <col min="2" max="2" width="14.00390625" style="0" customWidth="1"/>
    <col min="3" max="3" width="13.421875" style="0" customWidth="1"/>
    <col min="4" max="4" width="41.8515625" style="0" customWidth="1"/>
  </cols>
  <sheetData>
    <row r="1" spans="1:4" s="1" customFormat="1" ht="40.5" customHeight="1">
      <c r="A1" s="240" t="s">
        <v>299</v>
      </c>
      <c r="B1" s="240"/>
      <c r="C1" s="240"/>
      <c r="D1" s="240"/>
    </row>
    <row r="3" spans="1:4" ht="174.75" customHeight="1">
      <c r="A3" s="241" t="s">
        <v>307</v>
      </c>
      <c r="B3" s="241"/>
      <c r="C3" s="241"/>
      <c r="D3" s="241"/>
    </row>
    <row r="25" ht="12.75">
      <c r="A25" t="s">
        <v>137</v>
      </c>
    </row>
    <row r="26" spans="1:4" ht="68.25" customHeight="1">
      <c r="A26" s="242" t="s">
        <v>138</v>
      </c>
      <c r="B26" s="243"/>
      <c r="C26" s="243"/>
      <c r="D26" s="244"/>
    </row>
    <row r="28" spans="1:4" ht="12.75">
      <c r="A28" s="245" t="s">
        <v>147</v>
      </c>
      <c r="B28" s="245"/>
      <c r="C28" s="245"/>
      <c r="D28" s="245"/>
    </row>
    <row r="29" spans="1:4" ht="12.75">
      <c r="A29" s="151"/>
      <c r="B29" s="151"/>
      <c r="C29" s="151"/>
      <c r="D29" s="151"/>
    </row>
    <row r="30" spans="1:4" ht="12.75">
      <c r="A30" s="151"/>
      <c r="B30" s="151"/>
      <c r="C30" s="151"/>
      <c r="D30" s="151"/>
    </row>
    <row r="31" spans="1:4" ht="12.75">
      <c r="A31" s="151"/>
      <c r="B31" s="151"/>
      <c r="C31" s="151"/>
      <c r="D31" s="151"/>
    </row>
    <row r="32" spans="1:4" ht="12.75">
      <c r="A32" s="151"/>
      <c r="B32" s="151"/>
      <c r="C32" s="151"/>
      <c r="D32" s="151"/>
    </row>
    <row r="34" spans="1:4" ht="12.75">
      <c r="A34" s="246" t="s">
        <v>199</v>
      </c>
      <c r="B34" s="158" t="s">
        <v>194</v>
      </c>
      <c r="C34" s="248" t="s">
        <v>153</v>
      </c>
      <c r="D34" s="249"/>
    </row>
    <row r="35" spans="1:4" ht="12.75">
      <c r="A35" s="247"/>
      <c r="B35" s="158" t="s">
        <v>195</v>
      </c>
      <c r="C35" s="248" t="s">
        <v>153</v>
      </c>
      <c r="D35" s="249"/>
    </row>
    <row r="36" spans="1:4" ht="12.75">
      <c r="A36" s="247"/>
      <c r="B36" s="159" t="s">
        <v>90</v>
      </c>
      <c r="C36" s="250" t="s">
        <v>153</v>
      </c>
      <c r="D36" s="251"/>
    </row>
    <row r="37" spans="1:4" s="2" customFormat="1" ht="10.5">
      <c r="A37" s="239"/>
      <c r="B37" s="239"/>
      <c r="C37" s="239"/>
      <c r="D37" s="239"/>
    </row>
    <row r="38" spans="1:4" s="1" customFormat="1" ht="12.75">
      <c r="A38" s="12" t="str">
        <f>Copy_Right</f>
        <v>© 2010 Fairchild Semiconductor Corporation.  All rights reserved.</v>
      </c>
      <c r="B38" s="12"/>
      <c r="C38" s="12"/>
      <c r="D38" s="71" t="s">
        <v>80</v>
      </c>
    </row>
    <row r="39" spans="1:3" s="1" customFormat="1" ht="12.75">
      <c r="A39" s="12" t="str">
        <f>CONCATENATE("Rev. ",[0]!Rev,"  ·  ",TEXT([0]!Date,"mm/dd/yyyy"),"  ·  M. Smith")</f>
        <v>Rev. 3  ·  06/01/2010  ·  M. Smith</v>
      </c>
      <c r="B39" s="12"/>
      <c r="C39" s="12"/>
    </row>
  </sheetData>
  <sheetProtection password="995D" sheet="1" objects="1" scenarios="1" selectLockedCells="1"/>
  <protectedRanges>
    <protectedRange sqref="C34:D36" name="Range1"/>
  </protectedRanges>
  <mergeCells count="9">
    <mergeCell ref="A37:D37"/>
    <mergeCell ref="A1:D1"/>
    <mergeCell ref="A3:D3"/>
    <mergeCell ref="A26:D26"/>
    <mergeCell ref="A28:D28"/>
    <mergeCell ref="A34:A36"/>
    <mergeCell ref="C34:D34"/>
    <mergeCell ref="C35:D35"/>
    <mergeCell ref="C36:D36"/>
  </mergeCells>
  <printOptions horizontalCentered="1"/>
  <pageMargins left="0.25" right="0.25" top="0.5" bottom="0.5" header="0.25" footer="0.2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I49"/>
  <sheetViews>
    <sheetView zoomScalePageLayoutView="0" workbookViewId="0" topLeftCell="A2">
      <selection activeCell="C8" sqref="C8"/>
    </sheetView>
  </sheetViews>
  <sheetFormatPr defaultColWidth="9.140625" defaultRowHeight="12.75"/>
  <cols>
    <col min="1" max="1" width="30.7109375" style="1" customWidth="1"/>
    <col min="2" max="2" width="10.7109375" style="1" customWidth="1"/>
    <col min="3" max="3" width="11.57421875" style="2" customWidth="1"/>
    <col min="4" max="4" width="2.8515625" style="1" customWidth="1"/>
    <col min="5" max="5" width="30.7109375" style="1" customWidth="1"/>
    <col min="6" max="6" width="10.7109375" style="1" customWidth="1"/>
    <col min="7" max="7" width="11.00390625" style="1" customWidth="1"/>
    <col min="8" max="16384" width="9.140625" style="1" customWidth="1"/>
  </cols>
  <sheetData>
    <row r="1" spans="1:7" ht="40.5" customHeight="1">
      <c r="A1" s="240" t="s">
        <v>300</v>
      </c>
      <c r="B1" s="240"/>
      <c r="C1" s="240"/>
      <c r="D1" s="240"/>
      <c r="E1" s="240"/>
      <c r="F1" s="240"/>
      <c r="G1" s="240"/>
    </row>
    <row r="2" s="2" customFormat="1" ht="10.5"/>
    <row r="3" spans="1:7" ht="12.75">
      <c r="A3" s="257" t="s">
        <v>136</v>
      </c>
      <c r="B3" s="258"/>
      <c r="C3" s="258"/>
      <c r="D3" s="258"/>
      <c r="E3" s="258"/>
      <c r="F3" s="258"/>
      <c r="G3" s="258"/>
    </row>
    <row r="4" spans="1:7" s="2" customFormat="1" ht="90" customHeight="1">
      <c r="A4" s="254" t="s">
        <v>144</v>
      </c>
      <c r="B4" s="255"/>
      <c r="C4" s="255"/>
      <c r="D4" s="255"/>
      <c r="E4" s="255"/>
      <c r="F4" s="255"/>
      <c r="G4" s="256"/>
    </row>
    <row r="5" s="2" customFormat="1" ht="11.25" thickBot="1"/>
    <row r="6" spans="1:7" ht="14.25" thickBot="1" thickTop="1">
      <c r="A6" s="253" t="s">
        <v>7</v>
      </c>
      <c r="B6" s="253"/>
      <c r="C6" s="253"/>
      <c r="D6" s="253"/>
      <c r="E6" s="253"/>
      <c r="F6" s="253"/>
      <c r="G6" s="253"/>
    </row>
    <row r="7" spans="1:7" ht="12.75" customHeight="1" thickTop="1">
      <c r="A7" s="31" t="s">
        <v>0</v>
      </c>
      <c r="B7" s="31" t="s">
        <v>8</v>
      </c>
      <c r="C7" s="41">
        <v>73</v>
      </c>
      <c r="D7" s="17"/>
      <c r="E7" s="31" t="s">
        <v>18</v>
      </c>
      <c r="F7" s="11" t="s">
        <v>19</v>
      </c>
      <c r="G7" s="42">
        <v>330</v>
      </c>
    </row>
    <row r="8" spans="1:9" ht="12.75" customHeight="1">
      <c r="A8" s="30" t="s">
        <v>79</v>
      </c>
      <c r="B8" s="30" t="s">
        <v>9</v>
      </c>
      <c r="C8" s="42">
        <v>70</v>
      </c>
      <c r="D8" s="18"/>
      <c r="E8" s="30" t="s">
        <v>5</v>
      </c>
      <c r="F8" s="3" t="s">
        <v>20</v>
      </c>
      <c r="G8" s="72">
        <v>50</v>
      </c>
      <c r="I8" s="1" t="s">
        <v>153</v>
      </c>
    </row>
    <row r="9" spans="1:7" ht="12.75" customHeight="1">
      <c r="A9" s="30" t="s">
        <v>152</v>
      </c>
      <c r="B9" s="30" t="s">
        <v>151</v>
      </c>
      <c r="C9" s="127">
        <v>110</v>
      </c>
      <c r="D9" s="18" t="s">
        <v>153</v>
      </c>
      <c r="E9" s="30" t="s">
        <v>6</v>
      </c>
      <c r="F9" s="3" t="s">
        <v>88</v>
      </c>
      <c r="G9" s="46">
        <v>15</v>
      </c>
    </row>
    <row r="10" spans="1:7" ht="12.75" customHeight="1">
      <c r="A10" s="30" t="s">
        <v>82</v>
      </c>
      <c r="B10" s="30" t="s">
        <v>10</v>
      </c>
      <c r="C10" s="42">
        <v>265</v>
      </c>
      <c r="D10" s="18" t="s">
        <v>153</v>
      </c>
      <c r="E10" s="33" t="s">
        <v>86</v>
      </c>
      <c r="F10" s="5" t="s">
        <v>85</v>
      </c>
      <c r="G10" s="47">
        <v>6</v>
      </c>
    </row>
    <row r="11" spans="1:7" ht="12.75" customHeight="1">
      <c r="A11" s="30" t="s">
        <v>1</v>
      </c>
      <c r="B11" s="30" t="s">
        <v>11</v>
      </c>
      <c r="C11" s="43">
        <v>50</v>
      </c>
      <c r="D11" s="18"/>
      <c r="E11" s="33" t="s">
        <v>70</v>
      </c>
      <c r="F11" s="4" t="s">
        <v>73</v>
      </c>
      <c r="G11" s="43">
        <v>150</v>
      </c>
    </row>
    <row r="12" spans="1:7" ht="12.75" customHeight="1">
      <c r="A12" s="30" t="s">
        <v>2</v>
      </c>
      <c r="B12" s="30" t="s">
        <v>12</v>
      </c>
      <c r="C12" s="42">
        <v>400</v>
      </c>
      <c r="D12" s="18"/>
      <c r="E12" s="33" t="s">
        <v>72</v>
      </c>
      <c r="F12" s="4" t="s">
        <v>74</v>
      </c>
      <c r="G12" s="48">
        <v>0.15</v>
      </c>
    </row>
    <row r="13" spans="1:7" ht="12.75" customHeight="1">
      <c r="A13" s="32" t="s">
        <v>13</v>
      </c>
      <c r="B13" s="30" t="s">
        <v>14</v>
      </c>
      <c r="C13" s="42">
        <v>8</v>
      </c>
      <c r="D13" s="18"/>
      <c r="E13" s="33" t="s">
        <v>78</v>
      </c>
      <c r="F13" s="4" t="s">
        <v>75</v>
      </c>
      <c r="G13" s="48">
        <v>0.1</v>
      </c>
    </row>
    <row r="14" spans="1:7" ht="12.75" customHeight="1">
      <c r="A14" s="30" t="s">
        <v>3</v>
      </c>
      <c r="B14" s="30" t="s">
        <v>15</v>
      </c>
      <c r="C14" s="42">
        <v>468</v>
      </c>
      <c r="D14" s="18"/>
      <c r="E14" s="33" t="s">
        <v>76</v>
      </c>
      <c r="F14" s="4" t="s">
        <v>77</v>
      </c>
      <c r="G14" s="48">
        <v>0.07</v>
      </c>
    </row>
    <row r="15" spans="1:7" ht="12.75" customHeight="1">
      <c r="A15" s="30" t="s">
        <v>200</v>
      </c>
      <c r="B15" s="30" t="s">
        <v>16</v>
      </c>
      <c r="C15" s="44">
        <v>400</v>
      </c>
      <c r="D15" s="18"/>
      <c r="E15" s="33" t="s">
        <v>121</v>
      </c>
      <c r="F15" s="4" t="s">
        <v>87</v>
      </c>
      <c r="G15" s="133">
        <v>1.3</v>
      </c>
    </row>
    <row r="16" spans="1:7" ht="12.75" customHeight="1">
      <c r="A16" s="30" t="s">
        <v>122</v>
      </c>
      <c r="B16" s="30" t="s">
        <v>123</v>
      </c>
      <c r="C16" s="70">
        <v>1.5</v>
      </c>
      <c r="D16" s="18" t="s">
        <v>153</v>
      </c>
      <c r="E16" s="33"/>
      <c r="F16" s="4"/>
      <c r="G16" s="4"/>
    </row>
    <row r="17" spans="1:7" ht="12.75" customHeight="1" thickBot="1">
      <c r="A17" s="30" t="s">
        <v>4</v>
      </c>
      <c r="B17" s="30" t="s">
        <v>17</v>
      </c>
      <c r="C17" s="45">
        <v>20</v>
      </c>
      <c r="D17" s="18"/>
      <c r="E17" s="33"/>
      <c r="F17" s="4"/>
      <c r="G17" s="163"/>
    </row>
    <row r="18" spans="1:7" ht="12.75" customHeight="1" thickBot="1" thickTop="1">
      <c r="A18" s="130" t="s">
        <v>159</v>
      </c>
      <c r="B18" s="130"/>
      <c r="C18" s="130"/>
      <c r="D18" s="130"/>
      <c r="E18" s="132"/>
      <c r="F18" s="132"/>
      <c r="G18" s="132"/>
    </row>
    <row r="19" spans="1:7" ht="12.75" customHeight="1" thickTop="1">
      <c r="A19" s="34" t="s">
        <v>21</v>
      </c>
      <c r="B19" s="50" t="s">
        <v>22</v>
      </c>
      <c r="C19" s="40">
        <v>0.95</v>
      </c>
      <c r="D19" s="9"/>
      <c r="E19" s="134" t="s">
        <v>156</v>
      </c>
      <c r="F19" s="134" t="s">
        <v>157</v>
      </c>
      <c r="G19" s="206">
        <v>280</v>
      </c>
    </row>
    <row r="20" spans="1:7" ht="12.75">
      <c r="A20" s="35" t="s">
        <v>32</v>
      </c>
      <c r="B20" s="35" t="s">
        <v>28</v>
      </c>
      <c r="C20" s="49">
        <v>10</v>
      </c>
      <c r="D20" s="6"/>
      <c r="E20" s="134" t="s">
        <v>160</v>
      </c>
      <c r="F20" s="134" t="s">
        <v>158</v>
      </c>
      <c r="G20" s="135">
        <f>IF(AND(ISNUMBER(Rin2),ISNUMBER(Rin1),Rin2&gt;0,Rin1&gt;0),Rin1*1000/SQRT(2)*0.000002,"Error")</f>
        <v>3.138238379715732</v>
      </c>
    </row>
    <row r="21" spans="1:7" ht="12.75">
      <c r="A21" s="35" t="s">
        <v>24</v>
      </c>
      <c r="B21" s="35" t="s">
        <v>30</v>
      </c>
      <c r="C21" s="28">
        <f>IF(AND(ISNUMBER(POUT),ISNUMBER(fLINEMIN),ISNUMBER(VOUTRIPPLE),ISNUMBER(tHOLD),ISNUMBER(VOUT),ISNUMBER(VOUTMIN),VOUTRIPPLE&gt;0,fLINEMIN&gt;=0,(VOUT^2-VOUTMIN^2)&gt;0,VOUT-VOUTRIPPLE/2&gt;VOUTMIN),IF(fLINEMIN=0,2*POUT*tHOLD*0.001/((VOUT-VOUTRIPPLE/2)^2-VOUTMIN^2)*1000000,MAX(POUT/(2*PI()*fLINEMIN*VOUT*VOUTRIPPLE),2*POUT*tHOLD*0.001/((VOUT)^2-VOUTMIN^2))*1000000),"Error")</f>
        <v>397.8873577297383</v>
      </c>
      <c r="D21" s="6"/>
      <c r="E21" s="134"/>
      <c r="F21" s="134"/>
      <c r="G21" s="134"/>
    </row>
    <row r="22" spans="1:7" ht="12.75" customHeight="1">
      <c r="A22" s="35" t="s">
        <v>25</v>
      </c>
      <c r="B22" s="35" t="s">
        <v>26</v>
      </c>
      <c r="C22" s="24">
        <f>IF(AND(ISNUMBER(η),ISNUMBER(VLINEOFF),ISNUMBER(POUT),ISNUMBER(Kmax),ISNUMBER(FSWMIN),ISNUMBER(VOUT),FSWMIN&gt;18,FSWMIN&lt;600,Kmax&gt;=1),MAX(0,MIN(η*VLINEOFF^2*(VOUT-SQRT(2)*VLINEOFF)/(2*FSWMIN*1000*VOUT*PMAXCH/Kmax),η*VLINEMAX^2*(VOUT-SQRT(2)*VLINEMAX)/(2*FSWMIN*1000*VOUT*PMAXCH/Kmax))*1000000),"Error")</f>
        <v>175.14731383759084</v>
      </c>
      <c r="D22" s="6"/>
      <c r="E22" s="134"/>
      <c r="F22" s="134"/>
      <c r="G22" s="134"/>
    </row>
    <row r="23" spans="1:7" ht="12.75">
      <c r="A23" s="35" t="s">
        <v>155</v>
      </c>
      <c r="B23" s="35" t="s">
        <v>154</v>
      </c>
      <c r="C23" s="25">
        <f>IF(ISNUMBER(POUT),POUT/2,"Error")</f>
        <v>200</v>
      </c>
      <c r="D23" s="6"/>
      <c r="E23" s="134"/>
      <c r="F23" s="134"/>
      <c r="G23" s="134"/>
    </row>
    <row r="24" spans="1:7" ht="12.75">
      <c r="A24" s="35" t="s">
        <v>23</v>
      </c>
      <c r="B24" s="35" t="s">
        <v>29</v>
      </c>
      <c r="C24" s="25">
        <f>IF(AND(ISNUMBER(POUT),ISNUMBER(Kmax),Kmax&gt;=1),Kmax*POUT/2,"Error")</f>
        <v>260</v>
      </c>
      <c r="D24" s="6"/>
      <c r="E24" s="134"/>
      <c r="F24" s="134"/>
      <c r="G24" s="134"/>
    </row>
    <row r="25" spans="1:7" ht="13.5" thickBot="1">
      <c r="A25" s="35" t="s">
        <v>27</v>
      </c>
      <c r="B25" s="35" t="s">
        <v>31</v>
      </c>
      <c r="C25" s="23">
        <f>IF(AND(ISNUMBER(L),ISNUMBER(PMAXCH),ISNUMBER(η),ISNUMBER(VLINEOFF),L&gt;0),2*L/1000000*PMAXCH/(η*VLINEOFF^2)*1000000,"Error")</f>
        <v>19.565328291202412</v>
      </c>
      <c r="D25" s="6"/>
      <c r="E25" s="134"/>
      <c r="F25" s="134"/>
      <c r="G25" s="134"/>
    </row>
    <row r="26" spans="1:7" ht="22.5" thickBot="1" thickTop="1">
      <c r="A26" s="130" t="s">
        <v>141</v>
      </c>
      <c r="B26" s="130"/>
      <c r="C26" s="130"/>
      <c r="D26" s="130"/>
      <c r="E26" s="130"/>
      <c r="F26" s="130"/>
      <c r="G26" s="130"/>
    </row>
    <row r="27" spans="1:7" ht="12.75" customHeight="1" thickTop="1">
      <c r="A27" s="36" t="s">
        <v>33</v>
      </c>
      <c r="B27" s="36" t="s">
        <v>35</v>
      </c>
      <c r="C27" s="26">
        <f>IF(AND(ISNUMBER(VLINEOFF),ISNUMBER(L),ISNUMBER(TONMAX),L&gt;0,TONMAX&gt;0),SQRT(2)*VLINEOFF/L*TONMAX,"Error")</f>
        <v>11.058512066676833</v>
      </c>
      <c r="D27" s="9"/>
      <c r="E27" s="15"/>
      <c r="F27" s="8"/>
      <c r="G27" s="8"/>
    </row>
    <row r="28" spans="1:7" ht="13.5" thickBot="1">
      <c r="A28" s="35" t="s">
        <v>34</v>
      </c>
      <c r="B28" s="35" t="s">
        <v>36</v>
      </c>
      <c r="C28" s="27">
        <f>IF(AND(ISNUMBER(PMAXCH),ISNUMBER(VOUT)),2*PMAXCH/VOUT,"Error")</f>
        <v>1.3</v>
      </c>
      <c r="D28" s="14"/>
      <c r="E28" s="16"/>
      <c r="F28" s="13"/>
      <c r="G28" s="16"/>
    </row>
    <row r="29" spans="1:7" ht="14.25" thickBot="1" thickTop="1">
      <c r="A29" s="128" t="s">
        <v>37</v>
      </c>
      <c r="B29" s="129"/>
      <c r="C29" s="129"/>
      <c r="D29" s="129"/>
      <c r="E29" s="129"/>
      <c r="F29" s="129"/>
      <c r="G29" s="129"/>
    </row>
    <row r="30" spans="1:7" ht="24.75" thickTop="1">
      <c r="A30" s="37" t="s">
        <v>38</v>
      </c>
      <c r="B30" s="37" t="s">
        <v>52</v>
      </c>
      <c r="C30" s="136">
        <f>IF(AND(ISNUMBER(N),ISNUMBER(VOUTLATCH),N&gt;0),0.5*VOUTLATCH/(N*0.0005)/1000,"Error")</f>
        <v>46.8</v>
      </c>
      <c r="D30" s="10"/>
      <c r="E30" s="37" t="s">
        <v>45</v>
      </c>
      <c r="F30" s="37" t="s">
        <v>62</v>
      </c>
      <c r="G30" s="136">
        <f>IF(AND(ISNUMBER(VOUTLATCH),ISNUMBER(Povp),Povp&gt;0),(VOUTLATCH/Povp*3.5)/1000,"Error")</f>
        <v>16.38</v>
      </c>
    </row>
    <row r="31" spans="1:7" ht="12.75">
      <c r="A31" s="38" t="s">
        <v>39</v>
      </c>
      <c r="B31" s="38" t="s">
        <v>53</v>
      </c>
      <c r="C31" s="162">
        <v>0.22</v>
      </c>
      <c r="D31" s="7"/>
      <c r="E31" s="38" t="s">
        <v>46</v>
      </c>
      <c r="F31" s="38" t="s">
        <v>63</v>
      </c>
      <c r="G31" s="54">
        <f>IF(AND(ISNUMBER(Rin2),ISNUMBER(VLINEOFF)),Rin2*VLINEOFF*SQRT(2)/0.925-Rin2,"Error")</f>
        <v>2219.069639276878</v>
      </c>
    </row>
    <row r="32" spans="1:7" ht="12.75">
      <c r="A32" s="38" t="s">
        <v>40</v>
      </c>
      <c r="B32" s="38" t="s">
        <v>54</v>
      </c>
      <c r="C32" s="137">
        <f>IF(ISNUMBER(TONMAX),((1/0.00000000023*TONMAX*0.000001)-0.0001)/1000,"Error")</f>
        <v>85.0666446443583</v>
      </c>
      <c r="D32" s="7"/>
      <c r="E32" s="38" t="s">
        <v>46</v>
      </c>
      <c r="F32" s="38" t="s">
        <v>64</v>
      </c>
      <c r="G32" s="137">
        <f>IF(AND(ISNUMBER(VLINEOFF),ISNUMBER(VLINE_OVP),ISNUMBER(pinsns)),(0.925*(SQRT(2)*VLINE_OVP)^2)/(SQRT(2)*VLINEOFF*pinsns)/1000,"Error")</f>
        <v>20.930360723121805</v>
      </c>
    </row>
    <row r="33" spans="1:7" ht="12.75">
      <c r="A33" s="38" t="s">
        <v>41</v>
      </c>
      <c r="B33" s="38" t="s">
        <v>55</v>
      </c>
      <c r="C33" s="22">
        <f>IF(AND(ISNUMBER(COUT),ISNUMBER(IOMAX),ISNUMBER(dVout_dt),ISNUMBER(Rfb1),ISNUMBER(Rfb2)),IF(AND(Rfb2&gt;0,dVout_dt&gt;0,dVout_dt&lt;=(IOMAX/(COUT*0.000001)/1000)),MAX(0.000005*(Rfb1+Rfb2)*1000/(dVout_dt*1000*Rfb2*1000)*1000000000,0.000000005*COUT*0.000001*(Rfb1+Rfb2)/(0.3*IOMAX*Rfb2)*1000000000),"Error"),"Error")</f>
        <v>444.4444444444445</v>
      </c>
      <c r="D33" s="7"/>
      <c r="E33" s="38" t="s">
        <v>47</v>
      </c>
      <c r="F33" s="38" t="s">
        <v>65</v>
      </c>
      <c r="G33" s="137">
        <f>IF(AND(ISNUMBER(VLINEON),ISNUMBER(VLINEOFF),ISNUMBER(VLineHyst),ISNUMBER(Rin2),ISNUMBER(Rin1),Rin2&gt;0,Rin1&gt;0),IF(VLINEON-VLINEOFF&gt;VLineHyst,(SQRT(2)*VLINEON-0.925*(Rin1/Rin2+1)-0.000002*Rin1*1000)/(0.000002*(Rin1/Rin2+1))/1000,0),"Error")</f>
        <v>0</v>
      </c>
    </row>
    <row r="34" spans="1:7" ht="14.25" customHeight="1">
      <c r="A34" s="38" t="s">
        <v>42</v>
      </c>
      <c r="B34" s="38" t="s">
        <v>56</v>
      </c>
      <c r="C34" s="22">
        <f>IF(AND(ISNUMBER(IOMAX),ISNUMBER(COUT),ISNUMBER(fc),ISNUMBER(VOUT),COUT&gt;0,fc&gt;0,VOUT&gt;0),0.00008*IOMAX*3/(4.1*COUT*0.000001*(2*PI()*fc)^2*VOUT)*1000000000,"Error")</f>
        <v>336.42508295847796</v>
      </c>
      <c r="D34" s="7"/>
      <c r="E34" s="38" t="s">
        <v>84</v>
      </c>
      <c r="F34" s="38" t="s">
        <v>83</v>
      </c>
      <c r="G34" s="29">
        <f>IF(AND(ISNUMBER(fLINEMIN),ISNUMBER(Rin2),ISNUMBER(Rinhyst),fLINEMIN&gt;0),1/(fLINEMIN*2)*0.02/(1000*(Rinhyst+Rin2))*1000000000,"Error")</f>
        <v>9.555497043061454</v>
      </c>
    </row>
    <row r="35" spans="1:7" ht="12.75" customHeight="1">
      <c r="A35" s="38" t="s">
        <v>43</v>
      </c>
      <c r="B35" s="38" t="s">
        <v>57</v>
      </c>
      <c r="C35" s="137">
        <f>IF(AND(ISNUMBER(fc),ISNUMBER(Ccomplf),fc&gt;0,Ccomplf&gt;0),1/(2*PI()*fc*Ccomplf*0.000000001)/1000,"Error")</f>
        <v>78.84615384615384</v>
      </c>
      <c r="D35" s="7"/>
      <c r="E35" s="38" t="s">
        <v>48</v>
      </c>
      <c r="F35" s="38" t="s">
        <v>66</v>
      </c>
      <c r="G35" s="21">
        <f>IF(AND(ISNUMBER(VDDmax),VDDmax&gt;0),VDDmax/1,"Error")</f>
        <v>15</v>
      </c>
    </row>
    <row r="36" spans="1:7" ht="12.75">
      <c r="A36" s="38" t="s">
        <v>42</v>
      </c>
      <c r="B36" s="38" t="s">
        <v>58</v>
      </c>
      <c r="C36" s="29">
        <f>IF(AND(ISNUMBER(fHFP),ISNUMBER(Rcomp),fHFP&gt;0,Rcomp&gt;0),1/(2*PI()*fHFP*Rcomp)*1000000000/1000,"Error")</f>
        <v>13.45700331833912</v>
      </c>
      <c r="D36" s="7"/>
      <c r="E36" s="38" t="s">
        <v>49</v>
      </c>
      <c r="F36" s="38" t="s">
        <v>67</v>
      </c>
      <c r="G36" s="160">
        <v>2.2</v>
      </c>
    </row>
    <row r="37" spans="1:7" ht="12.75">
      <c r="A37" s="38" t="s">
        <v>44</v>
      </c>
      <c r="B37" s="38" t="s">
        <v>59</v>
      </c>
      <c r="C37" s="54">
        <f>IF(AND(ISNUMBER(VOUT),ISNUMBER(Rfb2)),(VOUT/3-1)*Rfb2,"Error")</f>
        <v>1176.2962962962965</v>
      </c>
      <c r="D37" s="7"/>
      <c r="E37" s="38" t="s">
        <v>50</v>
      </c>
      <c r="F37" s="38" t="s">
        <v>68</v>
      </c>
      <c r="G37" s="161">
        <v>22</v>
      </c>
    </row>
    <row r="38" spans="1:7" ht="12.75">
      <c r="A38" s="38" t="s">
        <v>44</v>
      </c>
      <c r="B38" s="38" t="s">
        <v>60</v>
      </c>
      <c r="C38" s="137">
        <f>IF(AND(ISNUMBER(VOUT),ISNUMBER(pfb),pfb&gt;0),3*VOUT/(pfb*0.9)/1000,"Error")</f>
        <v>8.88888888888889</v>
      </c>
      <c r="D38" s="7"/>
      <c r="E38" s="38" t="s">
        <v>51</v>
      </c>
      <c r="F38" s="38" t="s">
        <v>69</v>
      </c>
      <c r="G38" s="19">
        <f>IF(AND(ISNUMBER(ILPK),ILPK&gt;0),0.2/ILPK,"Error")</f>
        <v>0.018085615749579006</v>
      </c>
    </row>
    <row r="39" spans="1:7" ht="12.75">
      <c r="A39" s="38" t="s">
        <v>45</v>
      </c>
      <c r="B39" s="38" t="s">
        <v>61</v>
      </c>
      <c r="C39" s="54">
        <f>IF(AND(ISNUMBER(VOUTLATCH),ISNUMBER(Rov2)),(VOUTLATCH/3.5-1)*Rov2,"Error")</f>
        <v>2173.86</v>
      </c>
      <c r="D39" s="7"/>
      <c r="E39" s="39" t="s">
        <v>71</v>
      </c>
      <c r="F39" s="39" t="s">
        <v>81</v>
      </c>
      <c r="G39" s="20">
        <f>IF(AND(ISNUMBER(ILPK),ISNUMBER(Rcs1),ISNUMBER(VLINEOFF),ISNUMBER(VOUT),VOUT&gt;0),1.5*ILPK^2*Rcs1*(1/6-4*SQRT(2)*VLINEOFF/(9*PI()*VOUT)),"Error")</f>
        <v>0.4367704167965988</v>
      </c>
    </row>
    <row r="40" spans="1:3" ht="12.75">
      <c r="A40" s="141"/>
      <c r="B40" s="141"/>
      <c r="C40" s="142"/>
    </row>
    <row r="41" spans="1:7" s="52" customFormat="1" ht="38.25" customHeight="1">
      <c r="A41" s="259" t="s">
        <v>161</v>
      </c>
      <c r="B41" s="260"/>
      <c r="C41" s="260"/>
      <c r="D41" s="260"/>
      <c r="E41" s="260"/>
      <c r="F41" s="260"/>
      <c r="G41" s="261"/>
    </row>
    <row r="44" spans="1:7" ht="12.75">
      <c r="A44" s="246" t="s">
        <v>199</v>
      </c>
      <c r="B44" s="158" t="s">
        <v>194</v>
      </c>
      <c r="C44" s="262" t="str">
        <f>Project</f>
        <v> </v>
      </c>
      <c r="D44" s="263"/>
      <c r="E44" s="263"/>
      <c r="F44" s="263"/>
      <c r="G44" s="263"/>
    </row>
    <row r="45" spans="1:7" ht="12.75">
      <c r="A45" s="247"/>
      <c r="B45" s="158" t="s">
        <v>195</v>
      </c>
      <c r="C45" s="262" t="str">
        <f>Designer</f>
        <v> </v>
      </c>
      <c r="D45" s="263"/>
      <c r="E45" s="263"/>
      <c r="F45" s="263"/>
      <c r="G45" s="263"/>
    </row>
    <row r="46" spans="1:7" ht="12.75">
      <c r="A46" s="247"/>
      <c r="B46" s="159" t="s">
        <v>90</v>
      </c>
      <c r="C46" s="264" t="str">
        <f>Date_Design</f>
        <v> </v>
      </c>
      <c r="D46" s="265"/>
      <c r="E46" s="265"/>
      <c r="F46" s="265"/>
      <c r="G46" s="265"/>
    </row>
    <row r="47" spans="1:7" ht="12.75">
      <c r="A47" s="131"/>
      <c r="B47" s="131"/>
      <c r="C47" s="131"/>
      <c r="D47" s="131"/>
      <c r="E47" s="131"/>
      <c r="F47" s="131"/>
      <c r="G47" s="131"/>
    </row>
    <row r="48" spans="1:7" ht="12.75">
      <c r="A48" s="12" t="str">
        <f>Copy_Right</f>
        <v>© 2010 Fairchild Semiconductor Corporation.  All rights reserved.</v>
      </c>
      <c r="F48" s="252" t="s">
        <v>80</v>
      </c>
      <c r="G48" s="252"/>
    </row>
    <row r="49" ht="12.75">
      <c r="A49" s="12" t="str">
        <f>CONCATENATE("Rev. ",[0]!Rev,"  ·  ",TEXT([0]!Date,"mm/dd/yyyy"),"  ·  M. Smith")</f>
        <v>Rev. 3  ·  06/01/2010  ·  M. Smith</v>
      </c>
    </row>
  </sheetData>
  <sheetProtection password="995D" sheet="1" objects="1" scenarios="1" selectLockedCells="1"/>
  <mergeCells count="10">
    <mergeCell ref="A1:G1"/>
    <mergeCell ref="F48:G48"/>
    <mergeCell ref="A6:G6"/>
    <mergeCell ref="A4:G4"/>
    <mergeCell ref="A3:G3"/>
    <mergeCell ref="A41:G41"/>
    <mergeCell ref="A44:A46"/>
    <mergeCell ref="C44:G44"/>
    <mergeCell ref="C45:G45"/>
    <mergeCell ref="C46:G46"/>
  </mergeCells>
  <conditionalFormatting sqref="C10">
    <cfRule type="expression" priority="1" dxfId="107" stopIfTrue="1">
      <formula>NOT(ISNUMBER($C$10))</formula>
    </cfRule>
    <cfRule type="expression" priority="2" dxfId="107" stopIfTrue="1">
      <formula>OR($C$10&lt;=$C$7,$C$10&lt;=$C$8)</formula>
    </cfRule>
    <cfRule type="expression" priority="3" dxfId="107" stopIfTrue="1">
      <formula>$C$10&gt;($C$8*13.7/0.925)</formula>
    </cfRule>
  </conditionalFormatting>
  <conditionalFormatting sqref="G31">
    <cfRule type="expression" priority="4" dxfId="50" stopIfTrue="1">
      <formula>NOT(ISNUMBER($G$31))</formula>
    </cfRule>
    <cfRule type="cellIs" priority="5" dxfId="50" operator="lessThan" stopIfTrue="1">
      <formula>0</formula>
    </cfRule>
  </conditionalFormatting>
  <conditionalFormatting sqref="G32">
    <cfRule type="expression" priority="6" dxfId="50" stopIfTrue="1">
      <formula>NOT(ISNUMBER($G$32))</formula>
    </cfRule>
    <cfRule type="cellIs" priority="7" dxfId="50" operator="lessThan" stopIfTrue="1">
      <formula>0</formula>
    </cfRule>
  </conditionalFormatting>
  <conditionalFormatting sqref="G34">
    <cfRule type="expression" priority="8" dxfId="50" stopIfTrue="1">
      <formula>NOT(ISNUMBER($G$34))</formula>
    </cfRule>
    <cfRule type="cellIs" priority="9" dxfId="50" operator="lessThan" stopIfTrue="1">
      <formula>0</formula>
    </cfRule>
  </conditionalFormatting>
  <conditionalFormatting sqref="G30">
    <cfRule type="expression" priority="10" dxfId="50" stopIfTrue="1">
      <formula>NOT(ISNUMBER($G$30))</formula>
    </cfRule>
    <cfRule type="cellIs" priority="11" dxfId="50" operator="lessThanOrEqual" stopIfTrue="1">
      <formula>0</formula>
    </cfRule>
  </conditionalFormatting>
  <conditionalFormatting sqref="G38">
    <cfRule type="expression" priority="12" dxfId="50" stopIfTrue="1">
      <formula>NOT(ISNUMBER($G$38))</formula>
    </cfRule>
    <cfRule type="cellIs" priority="13" dxfId="50" operator="lessThanOrEqual" stopIfTrue="1">
      <formula>0</formula>
    </cfRule>
  </conditionalFormatting>
  <conditionalFormatting sqref="G39">
    <cfRule type="expression" priority="14" dxfId="50" stopIfTrue="1">
      <formula>NOT(ISNUMBER($G$39))</formula>
    </cfRule>
    <cfRule type="cellIs" priority="15" dxfId="50" operator="lessThan" stopIfTrue="1">
      <formula>0</formula>
    </cfRule>
  </conditionalFormatting>
  <conditionalFormatting sqref="G35">
    <cfRule type="expression" priority="16" dxfId="50" stopIfTrue="1">
      <formula>NOT(ISNUMBER($G$35))</formula>
    </cfRule>
    <cfRule type="cellIs" priority="17" dxfId="50" operator="lessThan" stopIfTrue="1">
      <formula>0</formula>
    </cfRule>
  </conditionalFormatting>
  <conditionalFormatting sqref="C25">
    <cfRule type="expression" priority="18" dxfId="50" stopIfTrue="1">
      <formula>NOT(ISNUMBER($C$25))</formula>
    </cfRule>
    <cfRule type="cellIs" priority="19" dxfId="50" operator="lessThan" stopIfTrue="1">
      <formula>0</formula>
    </cfRule>
  </conditionalFormatting>
  <conditionalFormatting sqref="C30">
    <cfRule type="expression" priority="20" dxfId="50" stopIfTrue="1">
      <formula>NOT(ISNUMBER($C$30))</formula>
    </cfRule>
    <cfRule type="cellIs" priority="21" dxfId="50" operator="lessThan" stopIfTrue="1">
      <formula>0</formula>
    </cfRule>
  </conditionalFormatting>
  <conditionalFormatting sqref="C37">
    <cfRule type="expression" priority="22" dxfId="50" stopIfTrue="1">
      <formula>NOT(ISNUMBER($C$37))</formula>
    </cfRule>
    <cfRule type="cellIs" priority="23" dxfId="50" operator="lessThan" stopIfTrue="1">
      <formula>0</formula>
    </cfRule>
  </conditionalFormatting>
  <conditionalFormatting sqref="C38">
    <cfRule type="expression" priority="24" dxfId="50" stopIfTrue="1">
      <formula>NOT(ISNUMBER($C$38))</formula>
    </cfRule>
    <cfRule type="cellIs" priority="25" dxfId="50" operator="lessThanOrEqual" stopIfTrue="1">
      <formula>0</formula>
    </cfRule>
  </conditionalFormatting>
  <conditionalFormatting sqref="C39">
    <cfRule type="expression" priority="26" dxfId="50" stopIfTrue="1">
      <formula>NOT(ISNUMBER($C$39))</formula>
    </cfRule>
    <cfRule type="cellIs" priority="27" dxfId="50" operator="lessThan" stopIfTrue="1">
      <formula>0</formula>
    </cfRule>
  </conditionalFormatting>
  <conditionalFormatting sqref="C27">
    <cfRule type="expression" priority="28" dxfId="50" stopIfTrue="1">
      <formula>NOT(ISNUMBER($C$27))</formula>
    </cfRule>
    <cfRule type="cellIs" priority="29" dxfId="50" operator="lessThan" stopIfTrue="1">
      <formula>0</formula>
    </cfRule>
  </conditionalFormatting>
  <conditionalFormatting sqref="C28">
    <cfRule type="expression" priority="30" dxfId="50" stopIfTrue="1">
      <formula>NOT(ISNUMBER($C$28))</formula>
    </cfRule>
    <cfRule type="cellIs" priority="31" dxfId="50" operator="lessThan" stopIfTrue="1">
      <formula>0</formula>
    </cfRule>
  </conditionalFormatting>
  <conditionalFormatting sqref="C34">
    <cfRule type="expression" priority="32" dxfId="50" stopIfTrue="1">
      <formula>NOT(ISNUMBER($C$34))</formula>
    </cfRule>
    <cfRule type="cellIs" priority="33" dxfId="50" operator="lessThanOrEqual" stopIfTrue="1">
      <formula>0</formula>
    </cfRule>
  </conditionalFormatting>
  <conditionalFormatting sqref="C35">
    <cfRule type="expression" priority="34" dxfId="50" stopIfTrue="1">
      <formula>NOT(ISNUMBER($C$35))</formula>
    </cfRule>
    <cfRule type="cellIs" priority="35" dxfId="50" operator="lessThanOrEqual" stopIfTrue="1">
      <formula>0</formula>
    </cfRule>
  </conditionalFormatting>
  <conditionalFormatting sqref="C36">
    <cfRule type="expression" priority="36" dxfId="50" stopIfTrue="1">
      <formula>NOT(ISNUMBER($C$36))</formula>
    </cfRule>
    <cfRule type="cellIs" priority="37" dxfId="50" operator="lessThanOrEqual" stopIfTrue="1">
      <formula>0</formula>
    </cfRule>
  </conditionalFormatting>
  <conditionalFormatting sqref="C32">
    <cfRule type="expression" priority="38" dxfId="50" stopIfTrue="1">
      <formula>NOT(ISNUMBER($C$32))</formula>
    </cfRule>
    <cfRule type="cellIs" priority="39" dxfId="50" operator="notBetween" stopIfTrue="1">
      <formula>40</formula>
      <formula>130</formula>
    </cfRule>
  </conditionalFormatting>
  <conditionalFormatting sqref="C17">
    <cfRule type="expression" priority="40" dxfId="107" stopIfTrue="1">
      <formula>NOT(ISNUMBER($C$17))</formula>
    </cfRule>
    <cfRule type="cellIs" priority="41" dxfId="107" operator="lessThan" stopIfTrue="1">
      <formula>0</formula>
    </cfRule>
  </conditionalFormatting>
  <conditionalFormatting sqref="C21">
    <cfRule type="expression" priority="42" dxfId="50" stopIfTrue="1">
      <formula>NOT(ISNUMBER($C$21))</formula>
    </cfRule>
    <cfRule type="cellIs" priority="43" dxfId="50" operator="lessThanOrEqual" stopIfTrue="1">
      <formula>0</formula>
    </cfRule>
  </conditionalFormatting>
  <conditionalFormatting sqref="C22">
    <cfRule type="expression" priority="44" dxfId="50" stopIfTrue="1">
      <formula>NOT(ISNUMBER($C$22))</formula>
    </cfRule>
    <cfRule type="cellIs" priority="45" dxfId="50" operator="lessThanOrEqual" stopIfTrue="1">
      <formula>0</formula>
    </cfRule>
  </conditionalFormatting>
  <conditionalFormatting sqref="C20">
    <cfRule type="expression" priority="46" dxfId="223" stopIfTrue="1">
      <formula>AND(ISNUMBER($C$20),$C$20&lt;&gt;10)</formula>
    </cfRule>
    <cfRule type="expression" priority="47" dxfId="107" stopIfTrue="1">
      <formula>NOT(ISNUMBER($C$20))</formula>
    </cfRule>
  </conditionalFormatting>
  <conditionalFormatting sqref="C19">
    <cfRule type="expression" priority="48" dxfId="107" stopIfTrue="1">
      <formula>NOT(ISNUMBER($C$19))</formula>
    </cfRule>
    <cfRule type="expression" priority="49" dxfId="107" stopIfTrue="1">
      <formula>OR($C$19&lt;0.75,$C$19&gt;=1)</formula>
    </cfRule>
    <cfRule type="expression" priority="50" dxfId="40" stopIfTrue="1">
      <formula>$C$19&lt;&gt;0.95</formula>
    </cfRule>
  </conditionalFormatting>
  <conditionalFormatting sqref="C13">
    <cfRule type="expression" priority="51" dxfId="107" stopIfTrue="1">
      <formula>NOT(ISNUMBER($C$13))</formula>
    </cfRule>
    <cfRule type="cellIs" priority="52" dxfId="107" operator="lessThan" stopIfTrue="1">
      <formula>0</formula>
    </cfRule>
  </conditionalFormatting>
  <conditionalFormatting sqref="C11">
    <cfRule type="expression" priority="53" dxfId="107" stopIfTrue="1">
      <formula>NOT(ISNUMBER($C$11))</formula>
    </cfRule>
    <cfRule type="cellIs" priority="54" dxfId="107" operator="lessThan" stopIfTrue="1">
      <formula>0</formula>
    </cfRule>
    <cfRule type="cellIs" priority="55" dxfId="107" operator="greaterThan" stopIfTrue="1">
      <formula>400</formula>
    </cfRule>
  </conditionalFormatting>
  <conditionalFormatting sqref="C24">
    <cfRule type="expression" priority="56" dxfId="50" stopIfTrue="1">
      <formula>NOT(ISNUMBER($C$24))</formula>
    </cfRule>
    <cfRule type="cellIs" priority="57" dxfId="50" operator="lessThanOrEqual" stopIfTrue="1">
      <formula>0</formula>
    </cfRule>
    <cfRule type="cellIs" priority="58" dxfId="50" operator="greaterThan" stopIfTrue="1">
      <formula>1000</formula>
    </cfRule>
  </conditionalFormatting>
  <conditionalFormatting sqref="C12">
    <cfRule type="expression" priority="59" dxfId="107" stopIfTrue="1">
      <formula>NOT(ISNUMBER($C$12))</formula>
    </cfRule>
    <cfRule type="expression" priority="60" dxfId="107" stopIfTrue="1">
      <formula>(($C$12-SQRT(2)*$C$10)/$C$20)&lt;2</formula>
    </cfRule>
  </conditionalFormatting>
  <conditionalFormatting sqref="C14">
    <cfRule type="expression" priority="61" dxfId="107" stopIfTrue="1">
      <formula>NOT(ISNUMBER($C$14))</formula>
    </cfRule>
    <cfRule type="cellIs" priority="62" dxfId="107" operator="lessThanOrEqual" stopIfTrue="1">
      <formula>$C$12+$C$13/2</formula>
    </cfRule>
  </conditionalFormatting>
  <conditionalFormatting sqref="C15">
    <cfRule type="expression" priority="63" dxfId="107" stopIfTrue="1">
      <formula>NOT(ISNUMBER($C$15))</formula>
    </cfRule>
    <cfRule type="cellIs" priority="64" dxfId="107" operator="lessThan" stopIfTrue="1">
      <formula>0</formula>
    </cfRule>
    <cfRule type="cellIs" priority="65" dxfId="107" operator="greaterThan" stopIfTrue="1">
      <formula>1000</formula>
    </cfRule>
  </conditionalFormatting>
  <conditionalFormatting sqref="C16">
    <cfRule type="expression" priority="66" dxfId="107" stopIfTrue="1">
      <formula>NOT(ISNUMBER($C$16))</formula>
    </cfRule>
    <cfRule type="cellIs" priority="67" dxfId="107" operator="lessThanOrEqual" stopIfTrue="1">
      <formula>0</formula>
    </cfRule>
    <cfRule type="cellIs" priority="68" dxfId="107" operator="greaterThan" stopIfTrue="1">
      <formula>$C$28/(2*$C$21*0.000001)/1000</formula>
    </cfRule>
  </conditionalFormatting>
  <conditionalFormatting sqref="C33">
    <cfRule type="expression" priority="69" dxfId="50" stopIfTrue="1">
      <formula>NOT(ISNUMBER($C$33))</formula>
    </cfRule>
    <cfRule type="cellIs" priority="70" dxfId="50" operator="lessThanOrEqual" stopIfTrue="1">
      <formula>0</formula>
    </cfRule>
  </conditionalFormatting>
  <conditionalFormatting sqref="G12">
    <cfRule type="expression" priority="71" dxfId="107" stopIfTrue="1">
      <formula>NOT(ISNUMBER($G$12))</formula>
    </cfRule>
    <cfRule type="cellIs" priority="72" dxfId="107" operator="lessThanOrEqual" stopIfTrue="1">
      <formula>0</formula>
    </cfRule>
  </conditionalFormatting>
  <conditionalFormatting sqref="G14">
    <cfRule type="expression" priority="73" dxfId="107" stopIfTrue="1">
      <formula>NOT(ISNUMBER($G$14))</formula>
    </cfRule>
    <cfRule type="cellIs" priority="74" dxfId="107" operator="lessThanOrEqual" stopIfTrue="1">
      <formula>0</formula>
    </cfRule>
  </conditionalFormatting>
  <conditionalFormatting sqref="G13">
    <cfRule type="expression" priority="75" dxfId="107" stopIfTrue="1">
      <formula>NOT(ISNUMBER($G$13))</formula>
    </cfRule>
    <cfRule type="cellIs" priority="76" dxfId="107" operator="lessThanOrEqual" stopIfTrue="1">
      <formula>0</formula>
    </cfRule>
  </conditionalFormatting>
  <conditionalFormatting sqref="G10">
    <cfRule type="expression" priority="77" dxfId="107" stopIfTrue="1">
      <formula>NOT(ISNUMBER($G$10))</formula>
    </cfRule>
    <cfRule type="expression" priority="78" dxfId="107" stopIfTrue="1">
      <formula>OR($G$10&lt;$C$11/10,$G$10&gt;$C$11/5)</formula>
    </cfRule>
  </conditionalFormatting>
  <conditionalFormatting sqref="G9">
    <cfRule type="expression" priority="79" dxfId="107" stopIfTrue="1">
      <formula>NOT(ISNUMBER($G$9))</formula>
    </cfRule>
    <cfRule type="cellIs" priority="80" dxfId="107" operator="notBetween" stopIfTrue="1">
      <formula>13</formula>
      <formula>20</formula>
    </cfRule>
  </conditionalFormatting>
  <conditionalFormatting sqref="G11">
    <cfRule type="expression" priority="81" dxfId="107" stopIfTrue="1">
      <formula>NOT(ISNUMBER($G$11))</formula>
    </cfRule>
    <cfRule type="expression" priority="82" dxfId="107" stopIfTrue="1">
      <formula>OR($G$11&lt;$G$10*10,$G$11&gt;($G$8*1000)/50)</formula>
    </cfRule>
  </conditionalFormatting>
  <conditionalFormatting sqref="C8">
    <cfRule type="expression" priority="83" dxfId="107" stopIfTrue="1">
      <formula>NOT(ISNUMBER($C$8))</formula>
    </cfRule>
    <cfRule type="cellIs" priority="84" dxfId="107" operator="notBetween" stopIfTrue="1">
      <formula>0</formula>
      <formula>$C$7</formula>
    </cfRule>
  </conditionalFormatting>
  <conditionalFormatting sqref="G7">
    <cfRule type="expression" priority="85" dxfId="107" stopIfTrue="1">
      <formula>NOT(ISNUMBER($G$7))</formula>
    </cfRule>
    <cfRule type="expression" priority="86" dxfId="179" stopIfTrue="1">
      <formula>$G$7&gt;=$C$12-(0.5*$C$13)</formula>
    </cfRule>
  </conditionalFormatting>
  <conditionalFormatting sqref="G8">
    <cfRule type="expression" priority="87" dxfId="107" stopIfTrue="1">
      <formula>NOT(ISNUMBER($G$8))</formula>
    </cfRule>
    <cfRule type="cellIs" priority="88" dxfId="107" operator="notBetween" stopIfTrue="1">
      <formula>18</formula>
      <formula>600</formula>
    </cfRule>
  </conditionalFormatting>
  <conditionalFormatting sqref="C7">
    <cfRule type="expression" priority="89" dxfId="107" stopIfTrue="1">
      <formula>NOT(ISNUMBER($C$7))</formula>
    </cfRule>
    <cfRule type="expression" priority="90" dxfId="179" stopIfTrue="1">
      <formula>$C$7&lt;=(0.000002*($C$8*3.7/0.925)^2/$G$14+$C$8)</formula>
    </cfRule>
  </conditionalFormatting>
  <conditionalFormatting sqref="G15 G17">
    <cfRule type="expression" priority="91" dxfId="107" stopIfTrue="1">
      <formula>NOT(ISNUMBER($G$15))</formula>
    </cfRule>
    <cfRule type="cellIs" priority="92" dxfId="107" operator="lessThan" stopIfTrue="1">
      <formula>1</formula>
    </cfRule>
  </conditionalFormatting>
  <conditionalFormatting sqref="G20">
    <cfRule type="expression" priority="93" dxfId="50" stopIfTrue="1">
      <formula>NOT(ISNUMBER($G$20))</formula>
    </cfRule>
    <cfRule type="cellIs" priority="94" dxfId="50" operator="lessThanOrEqual" stopIfTrue="1">
      <formula>0</formula>
    </cfRule>
  </conditionalFormatting>
  <conditionalFormatting sqref="G19">
    <cfRule type="expression" priority="95" dxfId="50" stopIfTrue="1">
      <formula>NOT(ISNUMBER($G$19))</formula>
    </cfRule>
    <cfRule type="cellIs" priority="96" dxfId="50" operator="lessThanOrEqual" stopIfTrue="1">
      <formula>$C$10</formula>
    </cfRule>
  </conditionalFormatting>
  <conditionalFormatting sqref="C9">
    <cfRule type="expression" priority="97" dxfId="50" stopIfTrue="1">
      <formula>NOT(ISNUMBER($C$9))</formula>
    </cfRule>
    <cfRule type="cellIs" priority="98" dxfId="50" operator="notBetween" stopIfTrue="1">
      <formula>$C$8</formula>
      <formula>$C$10</formula>
    </cfRule>
  </conditionalFormatting>
  <conditionalFormatting sqref="C23">
    <cfRule type="expression" priority="99" dxfId="50" stopIfTrue="1">
      <formula>NOT(ISNUMBER($C$23))</formula>
    </cfRule>
    <cfRule type="cellIs" priority="100" dxfId="50" operator="lessThanOrEqual" stopIfTrue="1">
      <formula>0</formula>
    </cfRule>
    <cfRule type="cellIs" priority="101" dxfId="50" operator="greaterThan" stopIfTrue="1">
      <formula>1000</formula>
    </cfRule>
  </conditionalFormatting>
  <conditionalFormatting sqref="G33">
    <cfRule type="expression" priority="102" dxfId="166" stopIfTrue="1">
      <formula>NOT(ISNUMBER($G$33))</formula>
    </cfRule>
    <cfRule type="cellIs" priority="103" dxfId="166" operator="lessThan" stopIfTrue="1">
      <formula>0</formula>
    </cfRule>
  </conditionalFormatting>
  <dataValidations count="1">
    <dataValidation allowBlank="1" sqref="C7"/>
  </dataValidations>
  <printOptions horizontalCentered="1"/>
  <pageMargins left="0.25" right="0.25" top="0.5" bottom="0.5" header="0.25" footer="0.25"/>
  <pageSetup horizontalDpi="600" verticalDpi="600" orientation="portrait" scale="95" r:id="rId4"/>
  <drawing r:id="rId3"/>
  <legacyDrawing r:id="rId2"/>
</worksheet>
</file>

<file path=xl/worksheets/sheet5.xml><?xml version="1.0" encoding="utf-8"?>
<worksheet xmlns="http://schemas.openxmlformats.org/spreadsheetml/2006/main" xmlns:r="http://schemas.openxmlformats.org/officeDocument/2006/relationships">
  <dimension ref="A1:G58"/>
  <sheetViews>
    <sheetView zoomScalePageLayoutView="0" workbookViewId="0" topLeftCell="A1">
      <selection activeCell="B9" sqref="B9"/>
    </sheetView>
  </sheetViews>
  <sheetFormatPr defaultColWidth="9.140625" defaultRowHeight="12.75"/>
  <cols>
    <col min="1" max="3" width="17.421875" style="74" customWidth="1"/>
    <col min="4" max="4" width="2.7109375" style="74" customWidth="1"/>
    <col min="5" max="7" width="17.421875" style="74" customWidth="1"/>
    <col min="8" max="16384" width="9.140625" style="74" customWidth="1"/>
  </cols>
  <sheetData>
    <row r="1" spans="1:7" s="73" customFormat="1" ht="40.5" customHeight="1">
      <c r="A1" s="269" t="s">
        <v>301</v>
      </c>
      <c r="B1" s="269"/>
      <c r="C1" s="269"/>
      <c r="D1" s="269"/>
      <c r="E1" s="269"/>
      <c r="F1" s="269"/>
      <c r="G1" s="269"/>
    </row>
    <row r="2" ht="6.75" customHeight="1"/>
    <row r="3" spans="1:7" ht="23.25" customHeight="1">
      <c r="A3" s="277" t="s">
        <v>139</v>
      </c>
      <c r="B3" s="277"/>
      <c r="C3" s="277"/>
      <c r="D3" s="277"/>
      <c r="E3" s="277"/>
      <c r="F3" s="277"/>
      <c r="G3" s="277"/>
    </row>
    <row r="4" spans="1:7" ht="75.75" customHeight="1">
      <c r="A4" s="259" t="s">
        <v>145</v>
      </c>
      <c r="B4" s="260"/>
      <c r="C4" s="260"/>
      <c r="D4" s="260"/>
      <c r="E4" s="260"/>
      <c r="F4" s="260"/>
      <c r="G4" s="261"/>
    </row>
    <row r="5" ht="6" customHeight="1"/>
    <row r="6" spans="1:7" ht="12.75" customHeight="1">
      <c r="A6" s="271" t="s">
        <v>124</v>
      </c>
      <c r="B6" s="272"/>
      <c r="C6" s="272"/>
      <c r="D6" s="272"/>
      <c r="E6" s="272"/>
      <c r="F6" s="272"/>
      <c r="G6" s="273"/>
    </row>
    <row r="7" spans="1:7" ht="10.5">
      <c r="A7" s="75" t="s">
        <v>91</v>
      </c>
      <c r="B7" s="75" t="s">
        <v>109</v>
      </c>
      <c r="C7" s="75" t="s">
        <v>110</v>
      </c>
      <c r="D7" s="76"/>
      <c r="E7" s="77" t="s">
        <v>111</v>
      </c>
      <c r="F7" s="77" t="s">
        <v>112</v>
      </c>
      <c r="G7" s="77" t="s">
        <v>113</v>
      </c>
    </row>
    <row r="8" spans="1:7" ht="12">
      <c r="A8" s="78" t="s">
        <v>59</v>
      </c>
      <c r="B8" s="165">
        <v>1066</v>
      </c>
      <c r="C8" s="79">
        <f>IF(ISNUMBER(Rfb1),Rfb1,"Error")</f>
        <v>1176.2962962962965</v>
      </c>
      <c r="D8" s="80"/>
      <c r="E8" s="81" t="s">
        <v>92</v>
      </c>
      <c r="F8" s="82">
        <f>IF(AND(ISNUMBER(Rfb2_actual),ISNUMBER(Rfb1_actual),Rfb2_actual&gt;0,Rfb1_actual&gt;0),3*(Rfb2_actual+Rfb1_actual)/Rfb2_actual,"Error")</f>
        <v>399.7741935483871</v>
      </c>
      <c r="G8" s="83">
        <f>IF(ISNUMBER(VOUT),VOUT,"Error")</f>
        <v>400</v>
      </c>
    </row>
    <row r="9" spans="1:7" ht="12">
      <c r="A9" s="78" t="s">
        <v>60</v>
      </c>
      <c r="B9" s="166">
        <v>8.06</v>
      </c>
      <c r="C9" s="138">
        <f>IF(ISNUMBER(Rfb2),Rfb2,"Error")</f>
        <v>8.88888888888889</v>
      </c>
      <c r="D9" s="80"/>
      <c r="E9" s="81" t="s">
        <v>74</v>
      </c>
      <c r="F9" s="85">
        <f>IF(AND(ISNUMBER(Vout_actual),ISNUMBER(Rfb2_actual),ISNUMBER(Rfb1_actual),Vout_actual&gt;VLINEMAX*SQRT(2)),Vout_actual^2/(1000*(Rfb2_actual+Rfb1_actual)),"Error")</f>
        <v>0.14879932762346912</v>
      </c>
      <c r="G9" s="86">
        <f>IF(ISNUMBER(pfb),pfb,"Error")</f>
        <v>0.15</v>
      </c>
    </row>
    <row r="10" spans="1:7" s="87" customFormat="1" ht="12.75" customHeight="1">
      <c r="A10" s="270" t="s">
        <v>125</v>
      </c>
      <c r="B10" s="270"/>
      <c r="C10" s="270"/>
      <c r="D10" s="270"/>
      <c r="E10" s="270"/>
      <c r="F10" s="270"/>
      <c r="G10" s="270"/>
    </row>
    <row r="11" spans="1:7" ht="10.5">
      <c r="A11" s="75" t="s">
        <v>91</v>
      </c>
      <c r="B11" s="75" t="s">
        <v>109</v>
      </c>
      <c r="C11" s="75" t="s">
        <v>110</v>
      </c>
      <c r="D11" s="88"/>
      <c r="E11" s="77" t="s">
        <v>111</v>
      </c>
      <c r="F11" s="77" t="s">
        <v>112</v>
      </c>
      <c r="G11" s="77" t="s">
        <v>113</v>
      </c>
    </row>
    <row r="12" spans="1:7" ht="12">
      <c r="A12" s="78" t="s">
        <v>61</v>
      </c>
      <c r="B12" s="165">
        <v>2190</v>
      </c>
      <c r="C12" s="79">
        <f>IF(ISNUMBER(Rov1),Rov1,"Error")</f>
        <v>2173.86</v>
      </c>
      <c r="D12" s="89"/>
      <c r="E12" s="81" t="s">
        <v>93</v>
      </c>
      <c r="F12" s="82">
        <f>IF(AND(ISNUMBER(Rov1_actual),ISNUMBER(Rov2_actual),Rov1_actual&gt;0,Rov2_actual&gt;0),3.5*(Rov1_actual+Rov2_actual)/Rov2_actual,"Error")</f>
        <v>468.04545454545456</v>
      </c>
      <c r="G12" s="83">
        <f>IF(ISNUMBER(VOUTLATCH),VOUTLATCH,"Error")</f>
        <v>468</v>
      </c>
    </row>
    <row r="13" spans="1:7" ht="12">
      <c r="A13" s="78" t="s">
        <v>62</v>
      </c>
      <c r="B13" s="166">
        <v>16.5</v>
      </c>
      <c r="C13" s="138">
        <f>IF(ISNUMBER(Rov2),Rov2,"Error")</f>
        <v>16.38</v>
      </c>
      <c r="D13" s="89"/>
      <c r="E13" s="81" t="s">
        <v>94</v>
      </c>
      <c r="F13" s="85">
        <f>IF(AND(ISNUMBER(Vout_actual),ISNUMBER(Rov1_actual),ISNUMBER(Rov2_actual),Rov1_actual&gt;0,Rov2_actual&gt;0),Vout_actual^2/(1000*(Rov1_actual+Rov2_actual)),"Error")</f>
        <v>0.07243118324371776</v>
      </c>
      <c r="G13" s="86">
        <f>IF(ISNUMBER(Povp),Povp,"Error")</f>
        <v>0.1</v>
      </c>
    </row>
    <row r="14" spans="1:7" s="87" customFormat="1" ht="12.75" customHeight="1">
      <c r="A14" s="274" t="s">
        <v>126</v>
      </c>
      <c r="B14" s="275"/>
      <c r="C14" s="275"/>
      <c r="D14" s="275"/>
      <c r="E14" s="275"/>
      <c r="F14" s="275"/>
      <c r="G14" s="276"/>
    </row>
    <row r="15" spans="1:7" ht="10.5">
      <c r="A15" s="75" t="s">
        <v>91</v>
      </c>
      <c r="B15" s="75" t="s">
        <v>109</v>
      </c>
      <c r="C15" s="75" t="s">
        <v>110</v>
      </c>
      <c r="D15" s="88"/>
      <c r="E15" s="77" t="s">
        <v>111</v>
      </c>
      <c r="F15" s="77" t="s">
        <v>112</v>
      </c>
      <c r="G15" s="77" t="s">
        <v>113</v>
      </c>
    </row>
    <row r="16" spans="1:7" ht="12">
      <c r="A16" s="78" t="s">
        <v>63</v>
      </c>
      <c r="B16" s="165">
        <v>2226</v>
      </c>
      <c r="C16" s="79">
        <f>IF(ISNUMBER(Rin1),Rin1,"Error")</f>
        <v>2219.069639276878</v>
      </c>
      <c r="D16" s="89"/>
      <c r="E16" s="81" t="s">
        <v>95</v>
      </c>
      <c r="F16" s="82">
        <f>IF(AND(ISNUMBER(Rin1_actual),ISNUMBER(Rin2_actual),Rin1_actual&gt;0,Rin2_actual&gt;0),(0.925*(Rin1_actual+Rin2_actual)/(Rin2_actual))/SQRT(2),"Error")</f>
        <v>69.98589366793853</v>
      </c>
      <c r="G16" s="83">
        <f>IF(ISNUMBER(VLINEOFF),VLINEOFF,"Error")</f>
        <v>70</v>
      </c>
    </row>
    <row r="17" spans="1:7" ht="12">
      <c r="A17" s="78" t="s">
        <v>64</v>
      </c>
      <c r="B17" s="166">
        <v>21</v>
      </c>
      <c r="C17" s="138">
        <f>IF(ISNUMBER(Rin2),Rin2,"Error")</f>
        <v>20.930360723121805</v>
      </c>
      <c r="D17" s="89"/>
      <c r="E17" s="81" t="s">
        <v>96</v>
      </c>
      <c r="F17" s="82">
        <f>IF(AND(ISNUMBER(Rinhyst_actual),ISNUMBER(Rin1_actual),ISNUMBER(Rin2_actual),Rinhyst_actual&gt;=0,Rin2_actual&gt;0,Rin1_actual&gt;0),(Rin1_actual*0.002+Rin1_actual/Rin2_actual*(Rinhyst_actual*0.002+0.925)+Rinhyst_actual*0.002+0.925)/SQRT(2),"Error")</f>
        <v>73.13393305778105</v>
      </c>
      <c r="G17" s="83">
        <f>IF(ISNUMBER(VLINEON),VLINEON,"Error")</f>
        <v>73</v>
      </c>
    </row>
    <row r="18" spans="1:7" ht="12">
      <c r="A18" s="78" t="s">
        <v>65</v>
      </c>
      <c r="B18" s="166">
        <v>0</v>
      </c>
      <c r="C18" s="139">
        <f>IF(AND(ISNUMBER(VLINEON),ISNUMBER(VLINEOFF),ISNUMBER(VLineHyst),ISNUMBER(Rin2_actual),ISNUMBER(Rin1_actual),Rin2_actual&gt;0,Rin1_actual&gt;0),IF(VLINEON-VLINEOFF&gt;VLineHyst,(SQRT(2)*VLINEON-0.925*(Rin1_actual/Rin2_actual+1)-0.000002*Rin1_actual*1000)/(0.000002*(Rin1_actual/Rin2_actual+1))/1000,0),"Error")</f>
        <v>0</v>
      </c>
      <c r="D18" s="89"/>
      <c r="E18" s="81" t="s">
        <v>97</v>
      </c>
      <c r="F18" s="85">
        <f>IF(AND(ISNUMBER(VLINEMAX),ISNUMBER(Rin1_actual),ISNUMBER(Rin2_actual),VLINEMAX&gt;0,Rin1_actual&gt;0,Rin2_actual&gt;0),(SQRT(2)*VLINEMAX)^2/(Rin1_actual+Rin2_actual)/1000,"Error")</f>
        <v>0.06250556297285269</v>
      </c>
      <c r="G18" s="86">
        <f>IF(ISNUMBER(pinsns),pinsns,"Error")</f>
        <v>0.07</v>
      </c>
    </row>
    <row r="19" spans="1:7" ht="12">
      <c r="A19" s="78" t="s">
        <v>83</v>
      </c>
      <c r="B19" s="167">
        <v>10</v>
      </c>
      <c r="C19" s="90">
        <f>IF(AND(ISNUMBER(fLINEMIN),ISNUMBER(Rin2_actual),ISNUMBER(Rinhyst_actual),fLINEMIN&gt;0),1/(fLINEMIN*2)*0.02/(1000*(Rinhyst_actual+Rin2_actual))*1000000000,"Error")</f>
        <v>9.523809523809524</v>
      </c>
      <c r="D19" s="91"/>
      <c r="E19" s="92" t="s">
        <v>142</v>
      </c>
      <c r="F19" s="93">
        <f>1/(2*PI()*(Rinhyst_actual+Rin2_actual)*1000*Cinf_actual*0.000000001)</f>
        <v>757.8806813899777</v>
      </c>
      <c r="G19" s="94">
        <f>1/(2*PI()*(Rinhyst_actual+Rin2_actual)*1000*C19*0.000000001)</f>
        <v>795.7747154594767</v>
      </c>
    </row>
    <row r="20" spans="1:7" s="87" customFormat="1" ht="12.75" customHeight="1">
      <c r="A20" s="270" t="s">
        <v>127</v>
      </c>
      <c r="B20" s="270"/>
      <c r="C20" s="270"/>
      <c r="D20" s="270"/>
      <c r="E20" s="270"/>
      <c r="F20" s="270"/>
      <c r="G20" s="270"/>
    </row>
    <row r="21" spans="1:7" ht="10.5">
      <c r="A21" s="75" t="s">
        <v>91</v>
      </c>
      <c r="B21" s="75" t="s">
        <v>109</v>
      </c>
      <c r="C21" s="75" t="s">
        <v>110</v>
      </c>
      <c r="D21" s="88"/>
      <c r="E21" s="77" t="s">
        <v>111</v>
      </c>
      <c r="F21" s="77" t="s">
        <v>112</v>
      </c>
      <c r="G21" s="77" t="s">
        <v>113</v>
      </c>
    </row>
    <row r="22" spans="1:7" ht="12">
      <c r="A22" s="78" t="s">
        <v>54</v>
      </c>
      <c r="B22" s="166">
        <v>84.5</v>
      </c>
      <c r="C22" s="79">
        <f>IF(ISNUMBER(Rmot),Rmot,"Error")</f>
        <v>85.0666446443583</v>
      </c>
      <c r="D22" s="89"/>
      <c r="E22" s="81" t="s">
        <v>98</v>
      </c>
      <c r="F22" s="95">
        <f>IF(AND(ISNUMBER(Rmot_actual),Rmot_actual&gt;0),(Rmot_actual*1000+0.0001)*0.00000000023*1000000,"Error")</f>
        <v>19.435000023</v>
      </c>
      <c r="G22" s="96">
        <f>IF(ISNUMBER(TONMAX),TONMAX,"Error")</f>
        <v>19.565328291202412</v>
      </c>
    </row>
    <row r="23" spans="1:7" s="87" customFormat="1" ht="12.75" customHeight="1">
      <c r="A23" s="270" t="s">
        <v>128</v>
      </c>
      <c r="B23" s="270"/>
      <c r="C23" s="270"/>
      <c r="D23" s="270"/>
      <c r="E23" s="270"/>
      <c r="F23" s="270"/>
      <c r="G23" s="270"/>
    </row>
    <row r="24" spans="1:7" ht="10.5">
      <c r="A24" s="75" t="s">
        <v>91</v>
      </c>
      <c r="B24" s="75" t="s">
        <v>109</v>
      </c>
      <c r="C24" s="75" t="s">
        <v>110</v>
      </c>
      <c r="D24" s="88"/>
      <c r="E24" s="77" t="s">
        <v>111</v>
      </c>
      <c r="F24" s="77" t="s">
        <v>112</v>
      </c>
      <c r="G24" s="77" t="s">
        <v>113</v>
      </c>
    </row>
    <row r="25" spans="1:7" ht="12">
      <c r="A25" s="78" t="s">
        <v>26</v>
      </c>
      <c r="B25" s="168">
        <v>180</v>
      </c>
      <c r="C25" s="97">
        <f>IF(AND(ISNUMBER(η),ISNUMBER(Vlineoff_actual),ISNUMBER(POUT),ISNUMBER(Kmax),ISNUMBER(FSWMIN),ISNUMBER(Vout_actual),FSWMIN&gt;18,FSWMIN&lt;600,Kmax&gt;=1),MAX(0,MIN(η*Vlineoff_actual^2*(Vout_actual-SQRT(2)*Vlineoff_actual)/(2*FSWMIN*1000*Vout_actual*PMAXCH/Kmax),η*VLINEMAX^2*(Vout_actual-SQRT(2)*VLINEMAX)/(2*FSWMIN*1000*Vout_actual*PMAXCH/Kmax))*1000000),"Error")</f>
        <v>175.05581692971361</v>
      </c>
      <c r="D25" s="91"/>
      <c r="E25" s="81" t="s">
        <v>99</v>
      </c>
      <c r="F25" s="98">
        <f>IF(AND(ISNUMBER(tonmax_actual),ISNUMBER(η),ISNUMBER(Vlineoff_actual),ISNUMBER(L_actual),tonmax_actual&gt;0,η&lt;1,η&gt;0,Vlineoff_actual&gt;0,L_actual&gt;0),0.000001*tonmax_actual*η*Vlineoff_actual^2/(2*L_actual*0.000001),"Error")</f>
        <v>251.2040721056596</v>
      </c>
      <c r="G25" s="99">
        <f>IF(ISNUMBER(PMAXCH),PMAXCH,"Error")</f>
        <v>260</v>
      </c>
    </row>
    <row r="26" spans="1:7" ht="12">
      <c r="A26" s="100"/>
      <c r="B26" s="101"/>
      <c r="C26" s="100"/>
      <c r="D26" s="91"/>
      <c r="E26" s="81" t="s">
        <v>102</v>
      </c>
      <c r="F26" s="102">
        <f>IF(AND(ISNUMBER(Pmaxch_actual),ISNUMBER(Vout_actual),Pmaxch_actual&gt;0,Vout_actual&gt;0),2*Pmaxch_actual/Vout_actual,"Error")</f>
        <v>1.256729804772928</v>
      </c>
      <c r="G26" s="103">
        <f>IF(ISNUMBER(IOMAX),IOMAX,"Error")</f>
        <v>1.3</v>
      </c>
    </row>
    <row r="27" spans="1:7" ht="12">
      <c r="A27" s="100"/>
      <c r="B27" s="101"/>
      <c r="C27" s="100"/>
      <c r="D27" s="91"/>
      <c r="E27" s="81" t="s">
        <v>100</v>
      </c>
      <c r="F27" s="104">
        <f>IF(AND(ISNUMBER(VLINEMAX),ISNUMBER(η),ISNUMBER(Vout_actual),ISNUMBER(L_actual),ISNUMBER(POUT),ISNUMBER(Vlineoff_actual),η&gt;0,η&lt;1,Vout_actual&gt;0,L_actual&gt;0,Pmaxch_actual&gt;0,Vlineoff_actual&gt;0),MIN(η*VLINEMAX^2*(Vout_actual-SQRT(2)*VLINEMAX)/(0.000001*L_actual*Vout_actual*2*(Pmaxch_actual/Kmax)),η*Vlineoff_actual^2*(Vout_actual-SQRT(2)*Vlineoff_actual)/(0.000001*L_actual*Vout_actual*2*(Pmaxch_actual/Kmax)))/1000,"Error")</f>
        <v>50.32928011721346</v>
      </c>
      <c r="G27" s="105">
        <f>IF(ISNUMBER(FSWMIN),FSWMIN,"Error")</f>
        <v>50</v>
      </c>
    </row>
    <row r="28" spans="1:7" s="87" customFormat="1" ht="12.75" customHeight="1">
      <c r="A28" s="270" t="s">
        <v>129</v>
      </c>
      <c r="B28" s="270"/>
      <c r="C28" s="270"/>
      <c r="D28" s="270"/>
      <c r="E28" s="270"/>
      <c r="F28" s="270"/>
      <c r="G28" s="270"/>
    </row>
    <row r="29" spans="1:7" ht="10.5">
      <c r="A29" s="75" t="s">
        <v>91</v>
      </c>
      <c r="B29" s="75" t="s">
        <v>109</v>
      </c>
      <c r="C29" s="75" t="s">
        <v>110</v>
      </c>
      <c r="D29" s="88"/>
      <c r="E29" s="77" t="s">
        <v>111</v>
      </c>
      <c r="F29" s="77" t="s">
        <v>112</v>
      </c>
      <c r="G29" s="77" t="s">
        <v>113</v>
      </c>
    </row>
    <row r="30" spans="1:7" ht="12">
      <c r="A30" s="78" t="s">
        <v>69</v>
      </c>
      <c r="B30" s="169">
        <v>0.02</v>
      </c>
      <c r="C30" s="106">
        <f>IF(AND(ISNUMBER(L),ISNUMBER(tonmax_actual),ISNUMBER(Vlineoff_actual),L_actual&gt;0,tonmax_actual&gt;0,Vlineoff_actual&gt;0),0.2*L_actual/(tonmax_actual*SQRT(2)*Vlineoff_actual),"Error")</f>
        <v>0.018715112619761068</v>
      </c>
      <c r="D30" s="91"/>
      <c r="E30" s="81" t="s">
        <v>101</v>
      </c>
      <c r="F30" s="102">
        <f>IF(ISNUMBER(Rcsx_actual),0.2/Rcsx_actual,"Error")</f>
        <v>10</v>
      </c>
      <c r="G30" s="103">
        <f>IF(ISNUMBER(ILPK),ILPK,"Error")</f>
        <v>11.058512066676833</v>
      </c>
    </row>
    <row r="31" spans="1:7" s="87" customFormat="1" ht="12.75" customHeight="1">
      <c r="A31" s="270" t="s">
        <v>130</v>
      </c>
      <c r="B31" s="270"/>
      <c r="C31" s="270"/>
      <c r="D31" s="270"/>
      <c r="E31" s="270"/>
      <c r="F31" s="270"/>
      <c r="G31" s="270"/>
    </row>
    <row r="32" spans="1:7" ht="10.5">
      <c r="A32" s="75" t="s">
        <v>91</v>
      </c>
      <c r="B32" s="75" t="s">
        <v>109</v>
      </c>
      <c r="C32" s="75" t="s">
        <v>110</v>
      </c>
      <c r="D32" s="88"/>
      <c r="E32" s="77" t="s">
        <v>111</v>
      </c>
      <c r="F32" s="77" t="s">
        <v>112</v>
      </c>
      <c r="G32" s="77" t="s">
        <v>113</v>
      </c>
    </row>
    <row r="33" spans="1:7" ht="12">
      <c r="A33" s="78" t="s">
        <v>30</v>
      </c>
      <c r="B33" s="170">
        <v>440</v>
      </c>
      <c r="C33" s="108">
        <f>IF(AND(ISNUMBER(POUT),ISNUMBER(fLINEMIN),ISNUMBER(Vout_actual),ISNUMBER(VOUTRIPPLE),ISNUMBER(tHOLD),ISNUMBER(VOUTMIN),POUT&gt;0,fLINEMIN&gt;=0,Vout_actual&gt;0,VOUTRIPPLE&gt;=0,tHOLD&gt;=0,VOUTMIN&gt;=0),MAX(POUT/(2*PI()*fLINEMIN*Vout_actual*VOUTRIPPLE),2*POUT*tHOLD*0.001/((Vout_actual)^2-VOUTMIN^2))*1000000,"Error")</f>
        <v>398.1120984304652</v>
      </c>
      <c r="D33" s="91"/>
      <c r="E33" s="81" t="s">
        <v>103</v>
      </c>
      <c r="F33" s="109">
        <f>IF(AND(ISNUMBER(POUT),ISNUMBER(fLINEMIN),ISNUMBER(Vout_actual),ISNUMBER(Cout_actual),POUT&gt;0,fLINEMIN&gt;=0,Vout_actual&gt;0,Cout_actual&gt;0),POUT/(2*PI()*fLINEMIN*Vout_actual*Cout_actual/1000000),"Error")</f>
        <v>7.238401789644823</v>
      </c>
      <c r="G33" s="110">
        <f>IF(ISNUMBER(VOUTRIPPLE),VOUTRIPPLE,"Error")</f>
        <v>8</v>
      </c>
    </row>
    <row r="34" spans="1:7" ht="12">
      <c r="A34" s="100"/>
      <c r="B34" s="101"/>
      <c r="C34" s="100"/>
      <c r="D34" s="91"/>
      <c r="E34" s="81" t="s">
        <v>104</v>
      </c>
      <c r="F34" s="111">
        <f>IF(AND(ISNUMBER(Cout_actual),ISNUMBER(Vout_actual),ISNUMBER(Voutripple_actual),ISNUMBER(VOUTMIN),ISNUMBER(POUT),Cout_actual&gt;0,Voutripple_actual&gt;0,VOUTMIN&gt;0,POUT&gt;0),Cout_actual/1000000*((Vout_actual)^2-VOUTMIN^2)/(2*POUT)*1000,"Error")</f>
        <v>28.00567320499479</v>
      </c>
      <c r="G34" s="112">
        <f>tHOLD</f>
        <v>20</v>
      </c>
    </row>
    <row r="35" spans="1:7" ht="12">
      <c r="A35" s="100"/>
      <c r="B35" s="101"/>
      <c r="C35" s="100"/>
      <c r="D35" s="91"/>
      <c r="E35" s="81" t="s">
        <v>105</v>
      </c>
      <c r="F35" s="82">
        <f>IF(AND(ISNUMBER(Vout_actual),ISNUMBER(POUT),ISNUMBER(tHOLD),ISNUMBER(Cout_actual),POUT&gt;0,tHOLD&gt;=0,Cout_actual&gt;0,ISNUMBER(SQRT(Vout_actual^2-(2*POUT*tHOLD/1000/(Cout_actual/1000000))))),SQRT(Vout_actual^2-(2*POUT*tHOLD/1000/(Cout_actual/1000000))),"Error")</f>
        <v>351.3627320357509</v>
      </c>
      <c r="G35" s="83">
        <f>IF(ISNUMBER(VOUTMIN),VOUTMIN,"Error")</f>
        <v>330</v>
      </c>
    </row>
    <row r="36" spans="1:7" s="87" customFormat="1" ht="12.75" customHeight="1">
      <c r="A36" s="274" t="s">
        <v>131</v>
      </c>
      <c r="B36" s="275"/>
      <c r="C36" s="275"/>
      <c r="D36" s="275"/>
      <c r="E36" s="275"/>
      <c r="F36" s="275"/>
      <c r="G36" s="276"/>
    </row>
    <row r="37" spans="1:7" ht="10.5">
      <c r="A37" s="75" t="s">
        <v>91</v>
      </c>
      <c r="B37" s="75" t="s">
        <v>109</v>
      </c>
      <c r="C37" s="75" t="s">
        <v>110</v>
      </c>
      <c r="D37" s="88"/>
      <c r="E37" s="77" t="s">
        <v>111</v>
      </c>
      <c r="F37" s="77" t="s">
        <v>112</v>
      </c>
      <c r="G37" s="77" t="s">
        <v>113</v>
      </c>
    </row>
    <row r="38" spans="1:7" ht="12">
      <c r="A38" s="78" t="s">
        <v>56</v>
      </c>
      <c r="B38" s="171">
        <v>390</v>
      </c>
      <c r="C38" s="113">
        <f>IF(AND(ISNUMBER(Iopk_actual),ISNUMBER(Rfb2_actual),ISNUMBER(Cout_actual),ISNUMBER(fc),ISNUMBER(Rfb1_actual),Iopk_actual&gt;0,Rfb2_actual&gt;0,Cout_actual&gt;0,fc&gt;=0,Rfb1_actual&gt;0),0.0001*Iopk_actual*Rfb2_actual*1000/(4.1*Cout_actual/1000000*(2*PI()*fc)^2*(Rfb2_actual*1000+Rfb1_actual*1000))*1000000000,"Error")</f>
        <v>367.8321140235464</v>
      </c>
      <c r="D38" s="91"/>
      <c r="E38" s="81" t="s">
        <v>106</v>
      </c>
      <c r="F38" s="114">
        <f>IF(AND(ISNUMBER(Rcomp_actual),ISNUMBER(Ccomplf_actual),Rcomp_actual&gt;=0,Ccomplf_actual&gt;0),1/(2*PI()*Rcomp_actual*1000*Ccomplf_actual/1000000000),"Error")</f>
        <v>5.99250510530876</v>
      </c>
      <c r="G38" s="115">
        <f>IF(ISNUMBER(fc),fc,"Error")</f>
        <v>6</v>
      </c>
    </row>
    <row r="39" spans="1:7" ht="12">
      <c r="A39" s="78" t="s">
        <v>57</v>
      </c>
      <c r="B39" s="165">
        <v>68.1</v>
      </c>
      <c r="C39" s="139">
        <f>IF(AND(ISNUMBER(fc),ISNUMBER(Ccomplf_actual),fc&gt;=0,Ccomplf_actual&gt;0),1/(2*PI()*fc*Ccomplf_actual/1000000000)/1000,"Error")</f>
        <v>68.01493294525442</v>
      </c>
      <c r="D39" s="89"/>
      <c r="E39" s="81" t="s">
        <v>73</v>
      </c>
      <c r="F39" s="114">
        <f>IF(AND(ISNUMBER(Rcomp_actual),ISNUMBER(Ccomphf_actual),Rcomp_actual&gt;=0,Ccomphf_actual&gt;0),1/(2*PI()*Rcomp_actual*1000*Ccomphf_actual/1000000000),"Error")</f>
        <v>155.80513273802777</v>
      </c>
      <c r="G39" s="115">
        <f>IF(ISNUMBER(fHFP),fHFP,"Error")</f>
        <v>150</v>
      </c>
    </row>
    <row r="40" spans="1:7" ht="12">
      <c r="A40" s="78" t="s">
        <v>58</v>
      </c>
      <c r="B40" s="171">
        <v>15</v>
      </c>
      <c r="C40" s="113">
        <f>IF(AND(ISNUMBER(fHFP),ISNUMBER(Rcomp_actual),fHFP&gt;0,Rcomp_actual&gt;=0),1/(2*PI()*fHFP*Rcomp_actual*1000)*1000000000,"Error")</f>
        <v>15.580513273802778</v>
      </c>
      <c r="D40" s="91"/>
      <c r="E40" s="107"/>
      <c r="F40" s="116"/>
      <c r="G40" s="107"/>
    </row>
    <row r="41" spans="1:7" s="87" customFormat="1" ht="12.75" customHeight="1">
      <c r="A41" s="270" t="s">
        <v>132</v>
      </c>
      <c r="B41" s="270"/>
      <c r="C41" s="270"/>
      <c r="D41" s="270"/>
      <c r="E41" s="270"/>
      <c r="F41" s="270"/>
      <c r="G41" s="270"/>
    </row>
    <row r="42" spans="1:7" ht="10.5">
      <c r="A42" s="75" t="s">
        <v>91</v>
      </c>
      <c r="B42" s="75" t="s">
        <v>109</v>
      </c>
      <c r="C42" s="75" t="s">
        <v>110</v>
      </c>
      <c r="D42" s="88"/>
      <c r="E42" s="77" t="s">
        <v>111</v>
      </c>
      <c r="F42" s="77" t="s">
        <v>112</v>
      </c>
      <c r="G42" s="77" t="s">
        <v>113</v>
      </c>
    </row>
    <row r="43" spans="1:7" ht="12">
      <c r="A43" s="78" t="s">
        <v>55</v>
      </c>
      <c r="B43" s="171">
        <v>470</v>
      </c>
      <c r="C43" s="113">
        <f>IF(AND(ISNUMBER(dVout_dt),ISNUMBER(Rfb2_actual),ISNUMBER(Rfb1_actual),Rfb2_actual&gt;0,Rfb1_actual&gt;0,dVout_dt&gt;0),0.000005*(Rfb2_actual+Rfb1_actual)*1000/(dVout_dt*1000*Rfb2_actual*1000)*1000000000,"Error")</f>
        <v>444.1935483870968</v>
      </c>
      <c r="D43" s="91"/>
      <c r="E43" s="81" t="s">
        <v>135</v>
      </c>
      <c r="F43" s="117">
        <f>0.000005/(Css_actual*0.000000001)*(Rfb1_actual+Rfb2_actual)/Rfb2_actual/1000</f>
        <v>1.4176389842141386</v>
      </c>
      <c r="G43" s="118">
        <f>dVout_dt</f>
        <v>1.5</v>
      </c>
    </row>
    <row r="44" spans="1:7" s="87" customFormat="1" ht="12.75" customHeight="1">
      <c r="A44" s="270" t="s">
        <v>133</v>
      </c>
      <c r="B44" s="270"/>
      <c r="C44" s="270"/>
      <c r="D44" s="270"/>
      <c r="E44" s="270"/>
      <c r="F44" s="270"/>
      <c r="G44" s="270"/>
    </row>
    <row r="45" spans="1:7" ht="10.5">
      <c r="A45" s="75" t="s">
        <v>91</v>
      </c>
      <c r="B45" s="75" t="s">
        <v>109</v>
      </c>
      <c r="C45" s="75" t="s">
        <v>110</v>
      </c>
      <c r="D45" s="88"/>
      <c r="E45" s="77" t="s">
        <v>111</v>
      </c>
      <c r="F45" s="77" t="s">
        <v>112</v>
      </c>
      <c r="G45" s="77" t="s">
        <v>113</v>
      </c>
    </row>
    <row r="46" spans="1:7" ht="12">
      <c r="A46" s="78" t="s">
        <v>66</v>
      </c>
      <c r="B46" s="172">
        <v>15</v>
      </c>
      <c r="C46" s="119">
        <f>IF(ISNUMBER(Rg1),Rg1,"Error")</f>
        <v>15</v>
      </c>
      <c r="D46" s="120"/>
      <c r="E46" s="81" t="s">
        <v>107</v>
      </c>
      <c r="F46" s="121">
        <f>IF(AND(ISNUMBER(VDDmax),ISNUMBER(Rgx_actual),VDDmax&gt;0,Rgx_actual&gt;0),VDDmax/Rgx_actual,"Error")</f>
        <v>1</v>
      </c>
      <c r="G46" s="122">
        <f>IF(AND(ISNUMBER(VDDmax),ISNUMBER(Rg1)),VDDmax/Rg1,"Error")</f>
        <v>1</v>
      </c>
    </row>
    <row r="47" spans="1:7" s="87" customFormat="1" ht="12.75" customHeight="1">
      <c r="A47" s="270" t="s">
        <v>134</v>
      </c>
      <c r="B47" s="270"/>
      <c r="C47" s="270"/>
      <c r="D47" s="270"/>
      <c r="E47" s="270"/>
      <c r="F47" s="270"/>
      <c r="G47" s="270"/>
    </row>
    <row r="48" spans="1:7" ht="10.5">
      <c r="A48" s="75" t="s">
        <v>91</v>
      </c>
      <c r="B48" s="75" t="s">
        <v>109</v>
      </c>
      <c r="C48" s="75" t="s">
        <v>110</v>
      </c>
      <c r="D48" s="88"/>
      <c r="E48" s="77" t="s">
        <v>111</v>
      </c>
      <c r="F48" s="77" t="s">
        <v>112</v>
      </c>
      <c r="G48" s="77" t="s">
        <v>113</v>
      </c>
    </row>
    <row r="49" spans="1:7" ht="12">
      <c r="A49" s="78" t="s">
        <v>52</v>
      </c>
      <c r="B49" s="166">
        <v>47.5</v>
      </c>
      <c r="C49" s="139">
        <f>IF(AND(ISNUMBER(Voutlatch_actual),Voutlatch_actual&gt;0),Voutlatch_actual/N/0.001/1000,"Error")</f>
        <v>46.804545454545455</v>
      </c>
      <c r="D49" s="89"/>
      <c r="E49" s="81" t="s">
        <v>108</v>
      </c>
      <c r="F49" s="123">
        <f>IF(AND(ISNUMBER(Voutlatch_actual),ISNUMBER(N),ISNUMBER(Rzcdx_actual),Voutlatch_actual&gt;0,N&gt;0,Rzcdx_actual&gt;0),Voutlatch_actual/N/Rzcdx_actual,"Error")</f>
        <v>0.9853588516746411</v>
      </c>
      <c r="G49" s="124">
        <f>IF(AND(ISNUMBER(VOUT),ISNUMBER(N),ISNUMBER(Rzcd1)),VOUTLATCH/N/Rzcd1,"Error")</f>
        <v>1</v>
      </c>
    </row>
    <row r="50" ht="6" customHeight="1"/>
    <row r="51" spans="1:7" s="84" customFormat="1" ht="42.75" customHeight="1">
      <c r="A51" s="259" t="s">
        <v>143</v>
      </c>
      <c r="B51" s="260"/>
      <c r="C51" s="260"/>
      <c r="D51" s="260"/>
      <c r="E51" s="260"/>
      <c r="F51" s="260"/>
      <c r="G51" s="261"/>
    </row>
    <row r="52" spans="1:7" s="84" customFormat="1" ht="6" customHeight="1">
      <c r="A52" s="157"/>
      <c r="B52" s="157"/>
      <c r="C52" s="157"/>
      <c r="D52" s="157"/>
      <c r="E52" s="157"/>
      <c r="F52" s="157"/>
      <c r="G52" s="157"/>
    </row>
    <row r="53" spans="1:7" s="84" customFormat="1" ht="11.25" customHeight="1">
      <c r="A53" s="246" t="s">
        <v>199</v>
      </c>
      <c r="B53" s="247"/>
      <c r="C53" s="158" t="s">
        <v>194</v>
      </c>
      <c r="D53" s="267" t="str">
        <f>Project</f>
        <v> </v>
      </c>
      <c r="E53" s="263"/>
      <c r="F53" s="263"/>
      <c r="G53" s="263"/>
    </row>
    <row r="54" spans="1:7" s="84" customFormat="1" ht="11.25" customHeight="1">
      <c r="A54" s="247"/>
      <c r="B54" s="247"/>
      <c r="C54" s="158" t="s">
        <v>195</v>
      </c>
      <c r="D54" s="267" t="str">
        <f>Designer</f>
        <v> </v>
      </c>
      <c r="E54" s="263"/>
      <c r="F54" s="263"/>
      <c r="G54" s="263"/>
    </row>
    <row r="55" spans="1:7" s="84" customFormat="1" ht="11.25" customHeight="1">
      <c r="A55" s="247"/>
      <c r="B55" s="247"/>
      <c r="C55" s="159" t="s">
        <v>90</v>
      </c>
      <c r="D55" s="264" t="str">
        <f>Date_Design</f>
        <v> </v>
      </c>
      <c r="E55" s="265"/>
      <c r="F55" s="265"/>
      <c r="G55" s="265"/>
    </row>
    <row r="56" spans="1:7" ht="5.25" customHeight="1">
      <c r="A56" s="266"/>
      <c r="B56" s="266"/>
      <c r="C56" s="266"/>
      <c r="D56" s="266"/>
      <c r="E56" s="266"/>
      <c r="F56" s="266"/>
      <c r="G56" s="266"/>
    </row>
    <row r="57" spans="1:7" s="73" customFormat="1" ht="12.75">
      <c r="A57" s="125" t="str">
        <f>Copy_Right</f>
        <v>© 2010 Fairchild Semiconductor Corporation.  All rights reserved.</v>
      </c>
      <c r="C57" s="74"/>
      <c r="F57" s="268" t="s">
        <v>80</v>
      </c>
      <c r="G57" s="268"/>
    </row>
    <row r="58" spans="1:3" s="73" customFormat="1" ht="9.75" customHeight="1">
      <c r="A58" s="125" t="str">
        <f>CONCATENATE("Rev. ",[0]!Rev,"  ·  ",TEXT([0]!Date,"mm/dd/yyyy"),"  ·  M. Smith")</f>
        <v>Rev. 3  ·  06/01/2010  ·  M. Smith</v>
      </c>
      <c r="C58" s="74"/>
    </row>
  </sheetData>
  <sheetProtection password="995D" sheet="1" objects="1" scenarios="1" selectLockedCells="1"/>
  <mergeCells count="21">
    <mergeCell ref="A51:G51"/>
    <mergeCell ref="A31:G31"/>
    <mergeCell ref="A36:G36"/>
    <mergeCell ref="A41:G41"/>
    <mergeCell ref="A28:G28"/>
    <mergeCell ref="A3:G3"/>
    <mergeCell ref="A1:G1"/>
    <mergeCell ref="A44:G44"/>
    <mergeCell ref="A47:G47"/>
    <mergeCell ref="A6:G6"/>
    <mergeCell ref="A10:G10"/>
    <mergeCell ref="A14:G14"/>
    <mergeCell ref="A20:G20"/>
    <mergeCell ref="A23:G23"/>
    <mergeCell ref="A4:G4"/>
    <mergeCell ref="A56:G56"/>
    <mergeCell ref="A53:B55"/>
    <mergeCell ref="D53:G53"/>
    <mergeCell ref="D54:G54"/>
    <mergeCell ref="D55:G55"/>
    <mergeCell ref="F57:G57"/>
  </mergeCells>
  <conditionalFormatting sqref="B33">
    <cfRule type="expression" priority="5" dxfId="107" stopIfTrue="1">
      <formula>NOT(ISNUMBER($B$33))</formula>
    </cfRule>
    <cfRule type="cellIs" priority="6" dxfId="107" operator="lessThanOrEqual" stopIfTrue="1">
      <formula>0</formula>
    </cfRule>
  </conditionalFormatting>
  <conditionalFormatting sqref="B38">
    <cfRule type="expression" priority="7" dxfId="107" stopIfTrue="1">
      <formula>NOT(ISNUMBER($B$38))</formula>
    </cfRule>
    <cfRule type="cellIs" priority="8" dxfId="107" operator="lessThanOrEqual" stopIfTrue="1">
      <formula>0</formula>
    </cfRule>
  </conditionalFormatting>
  <conditionalFormatting sqref="B39">
    <cfRule type="expression" priority="9" dxfId="107" stopIfTrue="1">
      <formula>NOT(ISNUMBER($B$39))</formula>
    </cfRule>
    <cfRule type="cellIs" priority="10" dxfId="107" operator="lessThan" stopIfTrue="1">
      <formula>0</formula>
    </cfRule>
  </conditionalFormatting>
  <conditionalFormatting sqref="B40">
    <cfRule type="expression" priority="11" dxfId="107" stopIfTrue="1">
      <formula>NOT(ISNUMBER($B$40))</formula>
    </cfRule>
    <cfRule type="cellIs" priority="12" dxfId="107" operator="lessThanOrEqual" stopIfTrue="1">
      <formula>0</formula>
    </cfRule>
  </conditionalFormatting>
  <conditionalFormatting sqref="B43">
    <cfRule type="expression" priority="13" dxfId="107" stopIfTrue="1">
      <formula>NOT(ISNUMBER($B$43))</formula>
    </cfRule>
    <cfRule type="cellIs" priority="14" dxfId="107" operator="lessThanOrEqual" stopIfTrue="1">
      <formula>0</formula>
    </cfRule>
  </conditionalFormatting>
  <conditionalFormatting sqref="B46">
    <cfRule type="expression" priority="15" dxfId="107" stopIfTrue="1">
      <formula>NOT(ISNUMBER($B$46))</formula>
    </cfRule>
    <cfRule type="cellIs" priority="16" dxfId="107" operator="lessThan" stopIfTrue="1">
      <formula>0</formula>
    </cfRule>
  </conditionalFormatting>
  <conditionalFormatting sqref="B49">
    <cfRule type="expression" priority="17" dxfId="107" stopIfTrue="1">
      <formula>NOT(ISNUMBER($B$49))</formula>
    </cfRule>
    <cfRule type="cellIs" priority="18" dxfId="107" operator="lessThanOrEqual" stopIfTrue="1">
      <formula>0</formula>
    </cfRule>
  </conditionalFormatting>
  <conditionalFormatting sqref="C33">
    <cfRule type="expression" priority="19" dxfId="50" stopIfTrue="1">
      <formula>NOT(ISNUMBER($C$33))</formula>
    </cfRule>
    <cfRule type="cellIs" priority="20" dxfId="50" operator="lessThanOrEqual" stopIfTrue="1">
      <formula>0</formula>
    </cfRule>
  </conditionalFormatting>
  <conditionalFormatting sqref="C38">
    <cfRule type="expression" priority="21" dxfId="50" stopIfTrue="1">
      <formula>NOT(ISNUMBER($C$38))</formula>
    </cfRule>
    <cfRule type="cellIs" priority="22" dxfId="50" operator="lessThanOrEqual" stopIfTrue="1">
      <formula>0</formula>
    </cfRule>
  </conditionalFormatting>
  <conditionalFormatting sqref="C39">
    <cfRule type="expression" priority="23" dxfId="50" stopIfTrue="1">
      <formula>NOT(ISNUMBER($C$39))</formula>
    </cfRule>
    <cfRule type="cellIs" priority="24" dxfId="50" operator="lessThan" stopIfTrue="1">
      <formula>0</formula>
    </cfRule>
  </conditionalFormatting>
  <conditionalFormatting sqref="C40">
    <cfRule type="expression" priority="25" dxfId="50" stopIfTrue="1">
      <formula>NOT(ISNUMBER($C$40))</formula>
    </cfRule>
    <cfRule type="cellIs" priority="26" dxfId="50" operator="lessThanOrEqual" stopIfTrue="1">
      <formula>0</formula>
    </cfRule>
  </conditionalFormatting>
  <conditionalFormatting sqref="C46">
    <cfRule type="expression" priority="27" dxfId="50" stopIfTrue="1">
      <formula>NOT(ISNUMBER($C$46))</formula>
    </cfRule>
    <cfRule type="cellIs" priority="28" dxfId="50" operator="lessThan" stopIfTrue="1">
      <formula>0</formula>
    </cfRule>
  </conditionalFormatting>
  <conditionalFormatting sqref="C49">
    <cfRule type="expression" priority="29" dxfId="50" stopIfTrue="1">
      <formula>NOT(ISNUMBER($C$49))</formula>
    </cfRule>
    <cfRule type="cellIs" priority="30" dxfId="50" operator="lessThanOrEqual" stopIfTrue="1">
      <formula>0</formula>
    </cfRule>
  </conditionalFormatting>
  <conditionalFormatting sqref="C43">
    <cfRule type="expression" priority="31" dxfId="50" stopIfTrue="1">
      <formula>NOT(ISNUMBER($C$43))</formula>
    </cfRule>
    <cfRule type="cellIs" priority="32" dxfId="50" operator="lessThanOrEqual" stopIfTrue="1">
      <formula>0</formula>
    </cfRule>
  </conditionalFormatting>
  <conditionalFormatting sqref="F43">
    <cfRule type="expression" priority="33" dxfId="50" stopIfTrue="1">
      <formula>NOT(ISNUMBER($F$43))</formula>
    </cfRule>
    <cfRule type="cellIs" priority="34" dxfId="50" operator="lessThanOrEqual" stopIfTrue="1">
      <formula>0</formula>
    </cfRule>
    <cfRule type="cellIs" priority="35" dxfId="50" operator="greaterThan" stopIfTrue="1">
      <formula>$F$30/(2*$B$33*0.000001)/1000</formula>
    </cfRule>
  </conditionalFormatting>
  <conditionalFormatting sqref="F33">
    <cfRule type="expression" priority="36" dxfId="50" stopIfTrue="1">
      <formula>NOT(ISNUMBER($F$33))</formula>
    </cfRule>
    <cfRule type="cellIs" priority="37" dxfId="52" operator="greaterThan" stopIfTrue="1">
      <formula>$G$33</formula>
    </cfRule>
  </conditionalFormatting>
  <conditionalFormatting sqref="F46">
    <cfRule type="expression" priority="38" dxfId="50" stopIfTrue="1">
      <formula>NOT(ISNUMBER($F$46))</formula>
    </cfRule>
    <cfRule type="cellIs" priority="39" dxfId="52" operator="greaterThan" stopIfTrue="1">
      <formula>ROUND($G$46,2)</formula>
    </cfRule>
  </conditionalFormatting>
  <conditionalFormatting sqref="G30">
    <cfRule type="expression" priority="40" dxfId="107" stopIfTrue="1">
      <formula>NOT(ISNUMBER($F$30))</formula>
    </cfRule>
  </conditionalFormatting>
  <conditionalFormatting sqref="C9">
    <cfRule type="expression" priority="41" dxfId="50" stopIfTrue="1">
      <formula>NOT(ISNUMBER($C$9))</formula>
    </cfRule>
  </conditionalFormatting>
  <conditionalFormatting sqref="B8">
    <cfRule type="expression" priority="42" dxfId="107" stopIfTrue="1">
      <formula>NOT(ISNUMBER($B$8))</formula>
    </cfRule>
    <cfRule type="cellIs" priority="43" dxfId="107" operator="lessThanOrEqual" stopIfTrue="1">
      <formula>0</formula>
    </cfRule>
  </conditionalFormatting>
  <conditionalFormatting sqref="B9">
    <cfRule type="expression" priority="44" dxfId="107" stopIfTrue="1">
      <formula>NOT(ISNUMBER($B$9))</formula>
    </cfRule>
    <cfRule type="cellIs" priority="45" dxfId="107" operator="lessThanOrEqual" stopIfTrue="1">
      <formula>0</formula>
    </cfRule>
  </conditionalFormatting>
  <conditionalFormatting sqref="B12">
    <cfRule type="expression" priority="46" dxfId="107" stopIfTrue="1">
      <formula>NOT(ISNUMBER($B$12))</formula>
    </cfRule>
    <cfRule type="cellIs" priority="47" dxfId="107" operator="lessThanOrEqual" stopIfTrue="1">
      <formula>0</formula>
    </cfRule>
  </conditionalFormatting>
  <conditionalFormatting sqref="B13">
    <cfRule type="expression" priority="48" dxfId="107" stopIfTrue="1">
      <formula>NOT(ISNUMBER($B$13))</formula>
    </cfRule>
    <cfRule type="cellIs" priority="49" dxfId="107" operator="lessThanOrEqual" stopIfTrue="1">
      <formula>0</formula>
    </cfRule>
  </conditionalFormatting>
  <conditionalFormatting sqref="B16">
    <cfRule type="expression" priority="50" dxfId="107" stopIfTrue="1">
      <formula>NOT(ISNUMBER($B$16))</formula>
    </cfRule>
    <cfRule type="cellIs" priority="51" dxfId="107" operator="lessThanOrEqual" stopIfTrue="1">
      <formula>0</formula>
    </cfRule>
  </conditionalFormatting>
  <conditionalFormatting sqref="B17">
    <cfRule type="expression" priority="52" dxfId="107" stopIfTrue="1">
      <formula>NOT(ISNUMBER($B$17))</formula>
    </cfRule>
    <cfRule type="cellIs" priority="53" dxfId="107" operator="lessThanOrEqual" stopIfTrue="1">
      <formula>0</formula>
    </cfRule>
  </conditionalFormatting>
  <conditionalFormatting sqref="B18">
    <cfRule type="expression" priority="54" dxfId="107" stopIfTrue="1">
      <formula>NOT(ISNUMBER($B$18))</formula>
    </cfRule>
    <cfRule type="cellIs" priority="55" dxfId="107" operator="lessThan" stopIfTrue="1">
      <formula>0</formula>
    </cfRule>
  </conditionalFormatting>
  <conditionalFormatting sqref="B19">
    <cfRule type="expression" priority="56" dxfId="107" stopIfTrue="1">
      <formula>NOT(ISNUMBER($B$19))</formula>
    </cfRule>
    <cfRule type="cellIs" priority="57" dxfId="107" operator="lessThanOrEqual" stopIfTrue="1">
      <formula>0</formula>
    </cfRule>
  </conditionalFormatting>
  <conditionalFormatting sqref="B22">
    <cfRule type="expression" priority="58" dxfId="107" stopIfTrue="1">
      <formula>NOT(ISNUMBER($B$22))</formula>
    </cfRule>
    <cfRule type="cellIs" priority="59" dxfId="107" operator="lessThan" stopIfTrue="1">
      <formula>25</formula>
    </cfRule>
  </conditionalFormatting>
  <conditionalFormatting sqref="B25">
    <cfRule type="expression" priority="60" dxfId="107" stopIfTrue="1">
      <formula>NOT(ISNUMBER($B$25))</formula>
    </cfRule>
    <cfRule type="cellIs" priority="61" dxfId="107" operator="lessThanOrEqual" stopIfTrue="1">
      <formula>0</formula>
    </cfRule>
  </conditionalFormatting>
  <conditionalFormatting sqref="B30">
    <cfRule type="expression" priority="62" dxfId="107" stopIfTrue="1">
      <formula>NOT(ISNUMBER($B$30))</formula>
    </cfRule>
    <cfRule type="cellIs" priority="63" dxfId="107" operator="lessThanOrEqual" stopIfTrue="1">
      <formula>0</formula>
    </cfRule>
  </conditionalFormatting>
  <conditionalFormatting sqref="C8">
    <cfRule type="expression" priority="64" dxfId="50" stopIfTrue="1">
      <formula>NOT(ISNUMBER($C$8))</formula>
    </cfRule>
    <cfRule type="cellIs" priority="65" dxfId="50" operator="lessThanOrEqual" stopIfTrue="1">
      <formula>0</formula>
    </cfRule>
  </conditionalFormatting>
  <conditionalFormatting sqref="C12">
    <cfRule type="expression" priority="66" dxfId="50" stopIfTrue="1">
      <formula>NOT(ISNUMBER($C$12))</formula>
    </cfRule>
    <cfRule type="cellIs" priority="67" dxfId="50" operator="lessThanOrEqual" stopIfTrue="1">
      <formula>0</formula>
    </cfRule>
  </conditionalFormatting>
  <conditionalFormatting sqref="C13">
    <cfRule type="expression" priority="68" dxfId="50" stopIfTrue="1">
      <formula>NOT(ISNUMBER($C$13))</formula>
    </cfRule>
    <cfRule type="cellIs" priority="69" dxfId="50" operator="lessThanOrEqual" stopIfTrue="1">
      <formula>0</formula>
    </cfRule>
  </conditionalFormatting>
  <conditionalFormatting sqref="C16">
    <cfRule type="expression" priority="70" dxfId="50" stopIfTrue="1">
      <formula>NOT(ISNUMBER($C$16))</formula>
    </cfRule>
    <cfRule type="cellIs" priority="71" dxfId="50" operator="lessThanOrEqual" stopIfTrue="1">
      <formula>0</formula>
    </cfRule>
  </conditionalFormatting>
  <conditionalFormatting sqref="C17">
    <cfRule type="expression" priority="72" dxfId="50" stopIfTrue="1">
      <formula>NOT(ISNUMBER($C$17))</formula>
    </cfRule>
    <cfRule type="cellIs" priority="73" dxfId="50" operator="lessThanOrEqual" stopIfTrue="1">
      <formula>0</formula>
    </cfRule>
  </conditionalFormatting>
  <conditionalFormatting sqref="C19">
    <cfRule type="expression" priority="74" dxfId="50" stopIfTrue="1">
      <formula>NOT(ISNUMBER($C$19))</formula>
    </cfRule>
    <cfRule type="cellIs" priority="75" dxfId="50" operator="lessThanOrEqual" stopIfTrue="1">
      <formula>0</formula>
    </cfRule>
  </conditionalFormatting>
  <conditionalFormatting sqref="C22">
    <cfRule type="expression" priority="76" dxfId="50" stopIfTrue="1">
      <formula>NOT(ISNUMBER($C$22))</formula>
    </cfRule>
    <cfRule type="cellIs" priority="77" dxfId="50" operator="lessThanOrEqual" stopIfTrue="1">
      <formula>25</formula>
    </cfRule>
  </conditionalFormatting>
  <conditionalFormatting sqref="C25">
    <cfRule type="expression" priority="78" dxfId="50" stopIfTrue="1">
      <formula>NOT(ISNUMBER($C$25))</formula>
    </cfRule>
    <cfRule type="cellIs" priority="79" dxfId="50" operator="lessThanOrEqual" stopIfTrue="1">
      <formula>0</formula>
    </cfRule>
  </conditionalFormatting>
  <conditionalFormatting sqref="C30">
    <cfRule type="expression" priority="80" dxfId="50" stopIfTrue="1">
      <formula>NOT(ISNUMBER($C$30))</formula>
    </cfRule>
    <cfRule type="cellIs" priority="81" dxfId="50" operator="lessThanOrEqual" stopIfTrue="1">
      <formula>0</formula>
    </cfRule>
  </conditionalFormatting>
  <conditionalFormatting sqref="F8">
    <cfRule type="expression" priority="82" dxfId="269" stopIfTrue="1">
      <formula>NOT(ISNUMBER($F$8))</formula>
    </cfRule>
    <cfRule type="expression" priority="83" dxfId="269" stopIfTrue="1">
      <formula>(($F$8-SQRT(2)*VLINEMAX)/N)&lt;2</formula>
    </cfRule>
    <cfRule type="expression" priority="84" dxfId="52" stopIfTrue="1">
      <formula>ABS($F$8-$G$8)/$G$8&gt;0.1</formula>
    </cfRule>
  </conditionalFormatting>
  <conditionalFormatting sqref="F9">
    <cfRule type="expression" priority="85" dxfId="50" stopIfTrue="1">
      <formula>NOT(ISNUMBER($F$9))</formula>
    </cfRule>
    <cfRule type="cellIs" priority="86" dxfId="72" operator="greaterThan" stopIfTrue="1">
      <formula>$G$9</formula>
    </cfRule>
  </conditionalFormatting>
  <conditionalFormatting sqref="F12">
    <cfRule type="expression" priority="87" dxfId="50" stopIfTrue="1">
      <formula>NOT(ISNUMBER($F$12))</formula>
    </cfRule>
    <cfRule type="expression" priority="88" dxfId="52" stopIfTrue="1">
      <formula>ABS($F$12-$G$12)/$G$12&gt;0.05</formula>
    </cfRule>
  </conditionalFormatting>
  <conditionalFormatting sqref="F16">
    <cfRule type="expression" priority="89" dxfId="50" stopIfTrue="1">
      <formula>NOT(ISNUMBER($F$16))</formula>
    </cfRule>
    <cfRule type="expression" priority="90" dxfId="80" stopIfTrue="1">
      <formula>ABS($F$16-$G$16)/$G$16&gt;0.1</formula>
    </cfRule>
  </conditionalFormatting>
  <conditionalFormatting sqref="F18">
    <cfRule type="expression" priority="91" dxfId="50" stopIfTrue="1">
      <formula>NOT(ISNUMBER($F$18))</formula>
    </cfRule>
    <cfRule type="cellIs" priority="92" dxfId="72" operator="greaterThan" stopIfTrue="1">
      <formula>ROUND($G$18,3)</formula>
    </cfRule>
  </conditionalFormatting>
  <conditionalFormatting sqref="F30">
    <cfRule type="expression" priority="93" dxfId="50" stopIfTrue="1">
      <formula>NOT(ISNUMBER($F$30))</formula>
    </cfRule>
  </conditionalFormatting>
  <conditionalFormatting sqref="F19">
    <cfRule type="expression" priority="94" dxfId="50" stopIfTrue="1">
      <formula>NOT(ISNUMBER($F$19))</formula>
    </cfRule>
  </conditionalFormatting>
  <conditionalFormatting sqref="C18">
    <cfRule type="expression" priority="95" dxfId="50" stopIfTrue="1">
      <formula>NOT(ISNUMBER($C$17))</formula>
    </cfRule>
    <cfRule type="cellIs" priority="96" dxfId="50" operator="lessThan" stopIfTrue="1">
      <formula>0</formula>
    </cfRule>
  </conditionalFormatting>
  <conditionalFormatting sqref="F13">
    <cfRule type="expression" priority="97" dxfId="50" stopIfTrue="1">
      <formula>NOT(ISNUMBER($F$13))</formula>
    </cfRule>
    <cfRule type="cellIs" priority="98" dxfId="72" operator="greaterThan" stopIfTrue="1">
      <formula>$G$13</formula>
    </cfRule>
  </conditionalFormatting>
  <conditionalFormatting sqref="F17">
    <cfRule type="expression" priority="99" dxfId="50" stopIfTrue="1">
      <formula>NOT(ISNUMBER($F$17))</formula>
    </cfRule>
    <cfRule type="expression" priority="100" dxfId="52" stopIfTrue="1">
      <formula>ABS($F$17-$G$17)/$G$17&gt;0.1</formula>
    </cfRule>
  </conditionalFormatting>
  <conditionalFormatting sqref="F22">
    <cfRule type="expression" priority="101" dxfId="50" stopIfTrue="1">
      <formula>NOT(ISNUMBER($F$22))</formula>
    </cfRule>
    <cfRule type="expression" priority="102" dxfId="52" stopIfTrue="1">
      <formula>ABS($F$22-$G$22)/$G$22&gt;0.1</formula>
    </cfRule>
  </conditionalFormatting>
  <conditionalFormatting sqref="F25">
    <cfRule type="expression" priority="103" dxfId="50" stopIfTrue="1">
      <formula>NOT(ISNUMBER($F$25))</formula>
    </cfRule>
    <cfRule type="expression" priority="104" dxfId="52" stopIfTrue="1">
      <formula>ABS($F$25-$G$25)/$G$25&gt;0.1</formula>
    </cfRule>
  </conditionalFormatting>
  <conditionalFormatting sqref="F26">
    <cfRule type="expression" priority="105" dxfId="50" stopIfTrue="1">
      <formula>NOT(ISNUMBER($F$26))</formula>
    </cfRule>
    <cfRule type="expression" priority="106" dxfId="52" stopIfTrue="1">
      <formula>ABS($F$26-$G$26)/$G$26&gt;0.1</formula>
    </cfRule>
  </conditionalFormatting>
  <conditionalFormatting sqref="F27">
    <cfRule type="expression" priority="107" dxfId="50" stopIfTrue="1">
      <formula>NOT(ISNUMBER($F$27))</formula>
    </cfRule>
    <cfRule type="expression" priority="108" dxfId="52" stopIfTrue="1">
      <formula>ABS($F$27-$G$27)/$G$27&gt;0.1</formula>
    </cfRule>
  </conditionalFormatting>
  <conditionalFormatting sqref="F34">
    <cfRule type="expression" priority="109" dxfId="50" stopIfTrue="1">
      <formula>NOT(ISNUMBER($F$34))</formula>
    </cfRule>
    <cfRule type="cellIs" priority="110" dxfId="52" operator="lessThan" stopIfTrue="1">
      <formula>$G$34</formula>
    </cfRule>
  </conditionalFormatting>
  <conditionalFormatting sqref="F35">
    <cfRule type="expression" priority="111" dxfId="50" stopIfTrue="1">
      <formula>NOT(ISNUMBER($F$35))</formula>
    </cfRule>
    <cfRule type="cellIs" priority="112" dxfId="52" operator="lessThan" stopIfTrue="1">
      <formula>$G$35</formula>
    </cfRule>
  </conditionalFormatting>
  <conditionalFormatting sqref="F38">
    <cfRule type="expression" priority="113" dxfId="50" stopIfTrue="1">
      <formula>NOT(ISNUMBER($F$38))</formula>
    </cfRule>
    <cfRule type="expression" priority="114" dxfId="52" stopIfTrue="1">
      <formula>ABS($F$38-$G$38)/$G$38&gt;0.25</formula>
    </cfRule>
  </conditionalFormatting>
  <conditionalFormatting sqref="F39">
    <cfRule type="expression" priority="115" dxfId="50" stopIfTrue="1">
      <formula>NOT(ISNUMBER($F$39))</formula>
    </cfRule>
    <cfRule type="expression" priority="116" dxfId="52" stopIfTrue="1">
      <formula>ABS($F$39-$G$39)/$G$39&gt;0.1</formula>
    </cfRule>
  </conditionalFormatting>
  <conditionalFormatting sqref="F49">
    <cfRule type="expression" priority="117" dxfId="50" stopIfTrue="1">
      <formula>NOT(ISNUMBER($F$49))</formula>
    </cfRule>
    <cfRule type="cellIs" priority="118" dxfId="52" operator="greaterThan" stopIfTrue="1">
      <formula>$G$49</formula>
    </cfRule>
  </conditionalFormatting>
  <printOptions horizontalCentered="1"/>
  <pageMargins left="0.25" right="0.25" top="0.5" bottom="0.5" header="0.25" footer="0.25"/>
  <pageSetup horizontalDpi="600" verticalDpi="600" orientation="portrait" scale="94" r:id="rId4"/>
  <drawing r:id="rId3"/>
  <legacyDrawing r:id="rId2"/>
</worksheet>
</file>

<file path=xl/worksheets/sheet6.xml><?xml version="1.0" encoding="utf-8"?>
<worksheet xmlns="http://schemas.openxmlformats.org/spreadsheetml/2006/main" xmlns:r="http://schemas.openxmlformats.org/officeDocument/2006/relationships">
  <dimension ref="A1:G60"/>
  <sheetViews>
    <sheetView zoomScaleSheetLayoutView="100" zoomScalePageLayoutView="0" workbookViewId="0" topLeftCell="A1">
      <selection activeCell="A60" sqref="A60"/>
    </sheetView>
  </sheetViews>
  <sheetFormatPr defaultColWidth="9.140625" defaultRowHeight="12.75"/>
  <cols>
    <col min="1" max="1" width="30.7109375" style="0" customWidth="1"/>
    <col min="2" max="2" width="10.7109375" style="0" customWidth="1"/>
    <col min="3" max="3" width="12.7109375" style="0" customWidth="1"/>
    <col min="4" max="4" width="2.7109375" style="0" customWidth="1"/>
    <col min="5" max="5" width="30.7109375" style="0" customWidth="1"/>
    <col min="6" max="6" width="10.7109375" style="0" customWidth="1"/>
    <col min="7" max="7" width="12.7109375" style="0" customWidth="1"/>
  </cols>
  <sheetData>
    <row r="1" spans="1:7" s="1" customFormat="1" ht="40.5" customHeight="1">
      <c r="A1" s="278" t="s">
        <v>302</v>
      </c>
      <c r="B1" s="240"/>
      <c r="C1" s="240"/>
      <c r="D1" s="240"/>
      <c r="E1" s="240"/>
      <c r="F1" s="240"/>
      <c r="G1" s="240"/>
    </row>
    <row r="2" s="2" customFormat="1" ht="10.5"/>
    <row r="3" spans="1:7" s="1" customFormat="1" ht="12.75">
      <c r="A3" s="257" t="s">
        <v>146</v>
      </c>
      <c r="B3" s="258"/>
      <c r="C3" s="258"/>
      <c r="D3" s="258"/>
      <c r="E3" s="258"/>
      <c r="F3" s="258"/>
      <c r="G3" s="258"/>
    </row>
    <row r="4" spans="1:7" s="2" customFormat="1" ht="51.75" customHeight="1">
      <c r="A4" s="254" t="s">
        <v>140</v>
      </c>
      <c r="B4" s="255"/>
      <c r="C4" s="255"/>
      <c r="D4" s="255"/>
      <c r="E4" s="255"/>
      <c r="F4" s="255"/>
      <c r="G4" s="256"/>
    </row>
    <row r="5" s="2" customFormat="1" ht="10.5"/>
    <row r="28" s="2" customFormat="1" ht="10.5"/>
    <row r="29" spans="1:7" s="1" customFormat="1" ht="12.75">
      <c r="A29" s="279" t="s">
        <v>119</v>
      </c>
      <c r="B29" s="279"/>
      <c r="C29" s="279"/>
      <c r="D29" s="279"/>
      <c r="E29" s="279"/>
      <c r="F29" s="279"/>
      <c r="G29" s="279"/>
    </row>
    <row r="30" spans="1:7" s="1" customFormat="1" ht="12.75">
      <c r="A30" s="57" t="s">
        <v>149</v>
      </c>
      <c r="B30" s="57" t="s">
        <v>30</v>
      </c>
      <c r="C30" s="66">
        <f>Cout_actual</f>
        <v>440</v>
      </c>
      <c r="D30" s="59"/>
      <c r="E30" s="57" t="s">
        <v>45</v>
      </c>
      <c r="F30" s="57" t="s">
        <v>61</v>
      </c>
      <c r="G30" s="61">
        <f>IF(ISNUMBER(Rov1_actual),Rov1_actual,"Error")</f>
        <v>2190</v>
      </c>
    </row>
    <row r="31" spans="1:7" s="1" customFormat="1" ht="12.75">
      <c r="A31" s="57" t="s">
        <v>150</v>
      </c>
      <c r="B31" s="57" t="s">
        <v>148</v>
      </c>
      <c r="C31" s="126">
        <f>L_actual</f>
        <v>180</v>
      </c>
      <c r="D31" s="59"/>
      <c r="E31" s="57" t="s">
        <v>45</v>
      </c>
      <c r="F31" s="57" t="s">
        <v>62</v>
      </c>
      <c r="G31" s="58">
        <f>IF(ISNUMBER(Rov2_actual),Rov2_actual,"Error")</f>
        <v>16.5</v>
      </c>
    </row>
    <row r="32" spans="1:7" s="1" customFormat="1" ht="24">
      <c r="A32" s="57" t="s">
        <v>38</v>
      </c>
      <c r="B32" s="57" t="s">
        <v>52</v>
      </c>
      <c r="C32" s="58">
        <f>IF(ISNUMBER(Rzcdx_actual),Rzcdx_actual,"Error")</f>
        <v>47.5</v>
      </c>
      <c r="D32" s="59"/>
      <c r="E32" s="57" t="s">
        <v>46</v>
      </c>
      <c r="F32" s="57" t="s">
        <v>63</v>
      </c>
      <c r="G32" s="61">
        <f>IF(ISNUMBER(Rin1_actual),Rin1_actual,"Error")</f>
        <v>2226</v>
      </c>
    </row>
    <row r="33" spans="1:7" s="1" customFormat="1" ht="12.75">
      <c r="A33" s="57" t="s">
        <v>39</v>
      </c>
      <c r="B33" s="57" t="s">
        <v>53</v>
      </c>
      <c r="C33" s="60">
        <f>CVB</f>
        <v>0.22</v>
      </c>
      <c r="D33" s="59"/>
      <c r="E33" s="57" t="s">
        <v>46</v>
      </c>
      <c r="F33" s="57" t="s">
        <v>64</v>
      </c>
      <c r="G33" s="58">
        <f>IF(ISNUMBER(Rin2_actual),Rin2_actual,"Error")</f>
        <v>21</v>
      </c>
    </row>
    <row r="34" spans="1:7" s="1" customFormat="1" ht="12.75">
      <c r="A34" s="57" t="s">
        <v>40</v>
      </c>
      <c r="B34" s="57" t="s">
        <v>54</v>
      </c>
      <c r="C34" s="58">
        <f>IF(ISNUMBER(Rmot_actual),Rmot_actual,"Error")</f>
        <v>84.5</v>
      </c>
      <c r="D34" s="59"/>
      <c r="E34" s="57" t="s">
        <v>47</v>
      </c>
      <c r="F34" s="57" t="s">
        <v>65</v>
      </c>
      <c r="G34" s="58">
        <f>IF(ISNUMBER(Rinhyst_actual),Rinhyst_actual,"Error")</f>
        <v>0</v>
      </c>
    </row>
    <row r="35" spans="1:7" s="1" customFormat="1" ht="12.75" customHeight="1">
      <c r="A35" s="57" t="s">
        <v>41</v>
      </c>
      <c r="B35" s="57" t="s">
        <v>55</v>
      </c>
      <c r="C35" s="62">
        <f>IF(ISNUMBER(Css_actual),Css_actual,"Error")</f>
        <v>470</v>
      </c>
      <c r="D35" s="59"/>
      <c r="E35" s="57" t="s">
        <v>84</v>
      </c>
      <c r="F35" s="57" t="s">
        <v>83</v>
      </c>
      <c r="G35" s="62">
        <f>IF(ISNUMBER(Cinf_actual),Cinf_actual,"Error")</f>
        <v>10</v>
      </c>
    </row>
    <row r="36" spans="1:7" s="1" customFormat="1" ht="12.75">
      <c r="A36" s="57" t="s">
        <v>42</v>
      </c>
      <c r="B36" s="57" t="s">
        <v>56</v>
      </c>
      <c r="C36" s="62">
        <f>IF(ISNUMBER(Ccomplf_actual),Ccomplf_actual,"Error")</f>
        <v>390</v>
      </c>
      <c r="D36" s="59"/>
      <c r="E36" s="57" t="s">
        <v>48</v>
      </c>
      <c r="F36" s="57" t="s">
        <v>66</v>
      </c>
      <c r="G36" s="63">
        <f>IF(ISNUMBER(Rgx_actual),Rgx_actual,"Error")</f>
        <v>15</v>
      </c>
    </row>
    <row r="37" spans="1:7" s="1" customFormat="1" ht="12.75">
      <c r="A37" s="57" t="s">
        <v>43</v>
      </c>
      <c r="B37" s="57" t="s">
        <v>57</v>
      </c>
      <c r="C37" s="58">
        <f>IF(ISNUMBER(Rcomp_actual),Rcomp_actual,"Error")</f>
        <v>68.1</v>
      </c>
      <c r="D37" s="59"/>
      <c r="E37" s="57" t="s">
        <v>49</v>
      </c>
      <c r="F37" s="57" t="s">
        <v>67</v>
      </c>
      <c r="G37" s="65">
        <f>Cvdd1</f>
        <v>2.2</v>
      </c>
    </row>
    <row r="38" spans="1:7" s="1" customFormat="1" ht="12.75">
      <c r="A38" s="57" t="s">
        <v>42</v>
      </c>
      <c r="B38" s="57" t="s">
        <v>58</v>
      </c>
      <c r="C38" s="64">
        <f>IF(ISNUMBER(Ccomphf_actual),Ccomphf_actual,"Error")</f>
        <v>15</v>
      </c>
      <c r="D38" s="59"/>
      <c r="E38" s="57" t="s">
        <v>50</v>
      </c>
      <c r="F38" s="57" t="s">
        <v>68</v>
      </c>
      <c r="G38" s="66">
        <f>Cvdd2</f>
        <v>22</v>
      </c>
    </row>
    <row r="39" spans="1:7" s="1" customFormat="1" ht="12.75">
      <c r="A39" s="57" t="s">
        <v>44</v>
      </c>
      <c r="B39" s="57" t="s">
        <v>59</v>
      </c>
      <c r="C39" s="61">
        <f>IF(ISNUMBER(Rfb1_actual),Rfb1_actual,"Error")</f>
        <v>1066</v>
      </c>
      <c r="D39" s="59"/>
      <c r="E39" s="57" t="s">
        <v>51</v>
      </c>
      <c r="F39" s="57" t="s">
        <v>69</v>
      </c>
      <c r="G39" s="67">
        <f>IF(ISNUMBER(Rcsx_actual),Rcsx_actual,"Error")</f>
        <v>0.02</v>
      </c>
    </row>
    <row r="40" spans="1:7" s="1" customFormat="1" ht="12.75">
      <c r="A40" s="57" t="s">
        <v>44</v>
      </c>
      <c r="B40" s="57" t="s">
        <v>60</v>
      </c>
      <c r="C40" s="58">
        <f>IF(ISNUMBER(Rfb2_actual),Rfb2_actual,"Error")</f>
        <v>8.06</v>
      </c>
      <c r="D40" s="59"/>
      <c r="E40" s="68" t="s">
        <v>71</v>
      </c>
      <c r="F40" s="68" t="s">
        <v>81</v>
      </c>
      <c r="G40" s="69">
        <f>IF(AND(ISNUMBER(Ilpk_actual),ISNUMBER(Rcsx_actual),ISNUMBER(Vlineoff_actual),ISNUMBER(Vout_actual),Vout_actual&gt;0),1.5*Ilpk_actual^2*Rcsx_actual*(1/6-4*SQRT(2)*Vlineoff_actual/(9*PI()*Vout_actual)),"Error")</f>
        <v>0.39492494682091916</v>
      </c>
    </row>
    <row r="42" spans="1:7" ht="40.5" customHeight="1">
      <c r="A42" s="254" t="s">
        <v>120</v>
      </c>
      <c r="B42" s="255"/>
      <c r="C42" s="255"/>
      <c r="D42" s="255"/>
      <c r="E42" s="255"/>
      <c r="F42" s="255"/>
      <c r="G42" s="256"/>
    </row>
    <row r="49" spans="1:7" ht="12.75">
      <c r="A49" s="246" t="s">
        <v>199</v>
      </c>
      <c r="B49" s="158" t="s">
        <v>194</v>
      </c>
      <c r="C49" s="262" t="str">
        <f>Project</f>
        <v> </v>
      </c>
      <c r="D49" s="263"/>
      <c r="E49" s="263"/>
      <c r="F49" s="263"/>
      <c r="G49" s="263"/>
    </row>
    <row r="50" spans="1:7" ht="12.75">
      <c r="A50" s="247"/>
      <c r="B50" s="158" t="s">
        <v>195</v>
      </c>
      <c r="C50" s="262" t="str">
        <f>Designer</f>
        <v> </v>
      </c>
      <c r="D50" s="263"/>
      <c r="E50" s="263"/>
      <c r="F50" s="263"/>
      <c r="G50" s="263"/>
    </row>
    <row r="51" spans="1:7" ht="12.75">
      <c r="A51" s="247"/>
      <c r="B51" s="159" t="s">
        <v>90</v>
      </c>
      <c r="C51" s="264" t="str">
        <f>Date_Design</f>
        <v> </v>
      </c>
      <c r="D51" s="265"/>
      <c r="E51" s="265"/>
      <c r="F51" s="265"/>
      <c r="G51" s="265"/>
    </row>
    <row r="52" spans="1:7" s="2" customFormat="1" ht="10.5">
      <c r="A52" s="239"/>
      <c r="B52" s="239"/>
      <c r="C52" s="239"/>
      <c r="D52" s="239"/>
      <c r="E52" s="239"/>
      <c r="F52" s="239"/>
      <c r="G52" s="239"/>
    </row>
    <row r="53" spans="1:7" s="1" customFormat="1" ht="12.75">
      <c r="A53" s="12" t="str">
        <f>Copy_Right</f>
        <v>© 2010 Fairchild Semiconductor Corporation.  All rights reserved.</v>
      </c>
      <c r="C53" s="2"/>
      <c r="F53" s="252" t="s">
        <v>80</v>
      </c>
      <c r="G53" s="252"/>
    </row>
    <row r="54" spans="1:3" s="1" customFormat="1" ht="12.75">
      <c r="A54" s="12" t="str">
        <f>CONCATENATE("Rev. ",[0]!Rev,"  ·  ",TEXT([0]!Date,"mm/dd/yyyy"),"  ·  M. Smith")</f>
        <v>Rev. 3  ·  06/01/2010  ·  M. Smith</v>
      </c>
      <c r="C54" s="2"/>
    </row>
    <row r="60" ht="12.75">
      <c r="A60" s="173"/>
    </row>
  </sheetData>
  <sheetProtection password="995D" sheet="1" objects="1" scenarios="1" selectLockedCells="1"/>
  <mergeCells count="11">
    <mergeCell ref="A49:A51"/>
    <mergeCell ref="C49:G49"/>
    <mergeCell ref="C50:G50"/>
    <mergeCell ref="C51:G51"/>
    <mergeCell ref="F53:G53"/>
    <mergeCell ref="A42:G42"/>
    <mergeCell ref="A1:G1"/>
    <mergeCell ref="A4:G4"/>
    <mergeCell ref="A29:G29"/>
    <mergeCell ref="A52:G52"/>
    <mergeCell ref="A3:G3"/>
  </mergeCells>
  <conditionalFormatting sqref="G30:G40 C30:C40">
    <cfRule type="expression" priority="1" dxfId="50" stopIfTrue="1">
      <formula>NOT(ISNUMBER(C30))</formula>
    </cfRule>
  </conditionalFormatting>
  <printOptions horizontalCentered="1"/>
  <pageMargins left="0.25" right="0.25" top="0.5" bottom="0.5" header="0.25" footer="0.25"/>
  <pageSetup horizontalDpi="600" verticalDpi="600" orientation="portrait" scale="93" r:id="rId4"/>
  <drawing r:id="rId3"/>
  <legacyDrawing r:id="rId2"/>
</worksheet>
</file>

<file path=xl/worksheets/sheet7.xml><?xml version="1.0" encoding="utf-8"?>
<worksheet xmlns="http://schemas.openxmlformats.org/spreadsheetml/2006/main" xmlns:r="http://schemas.openxmlformats.org/officeDocument/2006/relationships">
  <dimension ref="A1:H62"/>
  <sheetViews>
    <sheetView zoomScaleSheetLayoutView="100" zoomScalePageLayoutView="0" workbookViewId="0" topLeftCell="A1">
      <selection activeCell="D6" sqref="D6"/>
    </sheetView>
  </sheetViews>
  <sheetFormatPr defaultColWidth="9.140625" defaultRowHeight="12.75"/>
  <cols>
    <col min="1" max="1" width="30.7109375" style="0" customWidth="1"/>
    <col min="2" max="2" width="10.7109375" style="0" customWidth="1"/>
    <col min="3" max="3" width="10.00390625" style="0" customWidth="1"/>
    <col min="4" max="6" width="8.140625" style="0" customWidth="1"/>
    <col min="7" max="7" width="10.7109375" style="0" customWidth="1"/>
    <col min="8" max="8" width="12.7109375" style="0" customWidth="1"/>
  </cols>
  <sheetData>
    <row r="1" spans="1:8" s="1" customFormat="1" ht="40.5" customHeight="1">
      <c r="A1" s="240" t="s">
        <v>303</v>
      </c>
      <c r="B1" s="240"/>
      <c r="C1" s="240"/>
      <c r="D1" s="240"/>
      <c r="E1" s="240"/>
      <c r="F1" s="240"/>
      <c r="G1" s="240"/>
      <c r="H1" s="240"/>
    </row>
    <row r="2" s="2" customFormat="1" ht="10.5"/>
    <row r="3" spans="1:8" s="1" customFormat="1" ht="12.75">
      <c r="A3" s="257" t="s">
        <v>180</v>
      </c>
      <c r="B3" s="258"/>
      <c r="C3" s="258"/>
      <c r="D3" s="258"/>
      <c r="E3" s="258"/>
      <c r="F3" s="258"/>
      <c r="G3" s="258"/>
      <c r="H3" s="258"/>
    </row>
    <row r="4" spans="1:8" s="2" customFormat="1" ht="19.5" customHeight="1">
      <c r="A4" s="254" t="s">
        <v>162</v>
      </c>
      <c r="B4" s="255"/>
      <c r="C4" s="255"/>
      <c r="D4" s="255"/>
      <c r="E4" s="255"/>
      <c r="F4" s="255"/>
      <c r="G4" s="255"/>
      <c r="H4" s="256"/>
    </row>
    <row r="5" s="2" customFormat="1" ht="10.5"/>
    <row r="6" spans="2:6" ht="12.75">
      <c r="B6" s="282" t="s">
        <v>196</v>
      </c>
      <c r="C6" s="283"/>
      <c r="D6" s="293">
        <f>Iopk_actual/Kmax</f>
        <v>0.9667152344407138</v>
      </c>
      <c r="E6" s="164" t="s">
        <v>193</v>
      </c>
      <c r="F6" s="207"/>
    </row>
    <row r="28" s="2" customFormat="1" ht="10.5"/>
    <row r="29" s="2" customFormat="1" ht="10.5"/>
    <row r="30" s="2" customFormat="1" ht="10.5"/>
    <row r="31" s="2" customFormat="1" ht="10.5"/>
    <row r="32" s="2" customFormat="1" ht="10.5"/>
    <row r="33" s="2" customFormat="1" ht="10.5"/>
    <row r="34" s="2" customFormat="1" ht="10.5"/>
    <row r="35" s="2" customFormat="1" ht="10.5"/>
    <row r="36" s="2" customFormat="1" ht="10.5"/>
    <row r="37" s="2" customFormat="1" ht="10.5"/>
    <row r="38" s="2" customFormat="1" ht="10.5"/>
    <row r="39" s="2" customFormat="1" ht="10.5"/>
    <row r="40" s="2" customFormat="1" ht="10.5"/>
    <row r="41" s="2" customFormat="1" ht="10.5"/>
    <row r="42" s="2" customFormat="1" ht="10.5"/>
    <row r="43" s="2" customFormat="1" ht="10.5"/>
    <row r="44" s="2" customFormat="1" ht="10.5"/>
    <row r="45" s="2" customFormat="1" ht="10.5"/>
    <row r="46" s="2" customFormat="1" ht="10.5"/>
    <row r="47" spans="1:8" ht="12.75">
      <c r="A47" s="2"/>
      <c r="B47" s="2"/>
      <c r="C47" s="2"/>
      <c r="D47" s="2"/>
      <c r="E47" s="2"/>
      <c r="F47" s="2"/>
      <c r="G47" s="2"/>
      <c r="H47" s="2"/>
    </row>
    <row r="48" spans="1:8" ht="11.25" customHeight="1">
      <c r="A48" s="2"/>
      <c r="B48" s="2"/>
      <c r="C48" s="2"/>
      <c r="D48" s="2"/>
      <c r="E48" s="2"/>
      <c r="F48" s="2"/>
      <c r="G48" s="2"/>
      <c r="H48" s="2"/>
    </row>
    <row r="49" spans="1:8" ht="12.75">
      <c r="A49" s="2"/>
      <c r="B49" s="2"/>
      <c r="C49" s="2"/>
      <c r="D49" s="2"/>
      <c r="E49" s="2"/>
      <c r="F49" s="2"/>
      <c r="G49" s="2"/>
      <c r="H49" s="2"/>
    </row>
    <row r="50" spans="1:8" ht="12.75">
      <c r="A50" s="2"/>
      <c r="B50" s="2"/>
      <c r="C50" s="2"/>
      <c r="D50" s="2"/>
      <c r="E50" s="2"/>
      <c r="F50" s="2"/>
      <c r="G50" s="2"/>
      <c r="H50" s="2"/>
    </row>
    <row r="51" spans="1:8" ht="12.75">
      <c r="A51" s="2"/>
      <c r="B51" s="2"/>
      <c r="D51" s="150"/>
      <c r="E51" s="2"/>
      <c r="F51" s="2"/>
      <c r="G51" s="2"/>
      <c r="H51" s="2"/>
    </row>
    <row r="52" spans="2:6" ht="12.75" customHeight="1">
      <c r="B52" s="280" t="s">
        <v>189</v>
      </c>
      <c r="C52" s="281"/>
      <c r="D52" s="156">
        <f>BW</f>
        <v>6.309573444801954</v>
      </c>
      <c r="E52" s="153" t="s">
        <v>191</v>
      </c>
      <c r="F52" s="154"/>
    </row>
    <row r="53" spans="2:6" ht="12.75" customHeight="1">
      <c r="B53" s="280" t="s">
        <v>190</v>
      </c>
      <c r="C53" s="281"/>
      <c r="D53" s="156">
        <f>PM</f>
        <v>59.668995758365824</v>
      </c>
      <c r="E53" s="153" t="s">
        <v>192</v>
      </c>
      <c r="F53" s="154"/>
    </row>
    <row r="55" spans="1:8" ht="29.25" customHeight="1">
      <c r="A55" s="254" t="s">
        <v>188</v>
      </c>
      <c r="B55" s="255"/>
      <c r="C55" s="255"/>
      <c r="D55" s="255"/>
      <c r="E55" s="255"/>
      <c r="F55" s="255"/>
      <c r="G55" s="255"/>
      <c r="H55" s="256"/>
    </row>
    <row r="56" spans="1:8" ht="12.75" customHeight="1">
      <c r="A56" s="152"/>
      <c r="B56" s="152"/>
      <c r="C56" s="152"/>
      <c r="D56" s="152"/>
      <c r="E56" s="152"/>
      <c r="F56" s="152"/>
      <c r="G56" s="152"/>
      <c r="H56" s="152"/>
    </row>
    <row r="57" spans="1:8" ht="12.75" customHeight="1">
      <c r="A57" s="246" t="s">
        <v>199</v>
      </c>
      <c r="B57" s="158" t="s">
        <v>194</v>
      </c>
      <c r="C57" s="262" t="str">
        <f>Project</f>
        <v> </v>
      </c>
      <c r="D57" s="263"/>
      <c r="E57" s="263"/>
      <c r="F57" s="263"/>
      <c r="G57" s="263"/>
      <c r="H57" s="263"/>
    </row>
    <row r="58" spans="1:8" ht="12.75" customHeight="1">
      <c r="A58" s="247"/>
      <c r="B58" s="158" t="s">
        <v>195</v>
      </c>
      <c r="C58" s="262" t="str">
        <f>Designer</f>
        <v> </v>
      </c>
      <c r="D58" s="263"/>
      <c r="E58" s="263"/>
      <c r="F58" s="263"/>
      <c r="G58" s="263"/>
      <c r="H58" s="263"/>
    </row>
    <row r="59" spans="1:8" ht="12.75">
      <c r="A59" s="247"/>
      <c r="B59" s="159" t="s">
        <v>90</v>
      </c>
      <c r="C59" s="264" t="str">
        <f>Date_Design</f>
        <v> </v>
      </c>
      <c r="D59" s="265"/>
      <c r="E59" s="265"/>
      <c r="F59" s="265"/>
      <c r="G59" s="265"/>
      <c r="H59" s="265"/>
    </row>
    <row r="60" spans="2:7" ht="6.75" customHeight="1">
      <c r="B60" s="155"/>
      <c r="C60" s="155"/>
      <c r="D60" s="155"/>
      <c r="E60" s="155"/>
      <c r="F60" s="155"/>
      <c r="G60" s="155"/>
    </row>
    <row r="61" spans="1:8" s="1" customFormat="1" ht="12.75">
      <c r="A61" s="12" t="str">
        <f>Copy_Right</f>
        <v>© 2010 Fairchild Semiconductor Corporation.  All rights reserved.</v>
      </c>
      <c r="C61" s="2"/>
      <c r="G61" s="252" t="s">
        <v>80</v>
      </c>
      <c r="H61" s="252"/>
    </row>
    <row r="62" spans="1:3" s="1" customFormat="1" ht="12.75">
      <c r="A62" s="12" t="str">
        <f>CONCATENATE("Rev. ",[0]!Rev,"  ·  ",TEXT([0]!Date,"mm/dd/yyyy"),"  ·  M. Smith")</f>
        <v>Rev. 3  ·  06/01/2010  ·  M. Smith</v>
      </c>
      <c r="C62" s="2"/>
    </row>
  </sheetData>
  <sheetProtection password="995D" sheet="1" objects="1" scenarios="1" selectLockedCells="1"/>
  <mergeCells count="12">
    <mergeCell ref="C58:H58"/>
    <mergeCell ref="C59:H59"/>
    <mergeCell ref="G61:H61"/>
    <mergeCell ref="A1:H1"/>
    <mergeCell ref="A4:H4"/>
    <mergeCell ref="A3:H3"/>
    <mergeCell ref="A55:H55"/>
    <mergeCell ref="B53:C53"/>
    <mergeCell ref="B52:C52"/>
    <mergeCell ref="B6:C6"/>
    <mergeCell ref="A57:A59"/>
    <mergeCell ref="C57:H57"/>
  </mergeCells>
  <conditionalFormatting sqref="D52:D53">
    <cfRule type="expression" priority="1" dxfId="50" stopIfTrue="1">
      <formula>NOT(ISNUMBER(D52))</formula>
    </cfRule>
  </conditionalFormatting>
  <printOptions horizontalCentered="1"/>
  <pageMargins left="0.25" right="0.25" top="0.5" bottom="0.5" header="0.25" footer="0.25"/>
  <pageSetup horizontalDpi="600" verticalDpi="600" orientation="portrait" scale="93" r:id="rId4"/>
  <drawing r:id="rId3"/>
  <legacyDrawing r:id="rId2"/>
</worksheet>
</file>

<file path=xl/worksheets/sheet8.xml><?xml version="1.0" encoding="utf-8"?>
<worksheet xmlns="http://schemas.openxmlformats.org/spreadsheetml/2006/main" xmlns:r="http://schemas.openxmlformats.org/officeDocument/2006/relationships">
  <dimension ref="A1:I47"/>
  <sheetViews>
    <sheetView zoomScalePageLayoutView="0" workbookViewId="0" topLeftCell="A1">
      <selection activeCell="C7" sqref="C7"/>
    </sheetView>
  </sheetViews>
  <sheetFormatPr defaultColWidth="9.140625" defaultRowHeight="12.75"/>
  <cols>
    <col min="1" max="1" width="30.7109375" style="1" customWidth="1"/>
    <col min="2" max="2" width="10.7109375" style="1" customWidth="1"/>
    <col min="3" max="3" width="11.57421875" style="2" customWidth="1"/>
    <col min="4" max="4" width="2.8515625" style="1" customWidth="1"/>
    <col min="5" max="5" width="30.7109375" style="1" customWidth="1"/>
    <col min="6" max="6" width="10.7109375" style="1" customWidth="1"/>
    <col min="7" max="7" width="11.00390625" style="1" customWidth="1"/>
    <col min="8" max="8" width="2.7109375" style="1" customWidth="1"/>
    <col min="9" max="16384" width="9.140625" style="1" customWidth="1"/>
  </cols>
  <sheetData>
    <row r="1" spans="1:7" ht="40.5" customHeight="1">
      <c r="A1" s="278" t="s">
        <v>304</v>
      </c>
      <c r="B1" s="240"/>
      <c r="C1" s="240"/>
      <c r="D1" s="240"/>
      <c r="E1" s="240"/>
      <c r="F1" s="240"/>
      <c r="G1" s="240"/>
    </row>
    <row r="2" s="2" customFormat="1" ht="10.5">
      <c r="I2" s="192" t="s">
        <v>265</v>
      </c>
    </row>
    <row r="3" spans="1:7" s="2" customFormat="1" ht="39" customHeight="1">
      <c r="A3" s="254" t="s">
        <v>306</v>
      </c>
      <c r="B3" s="255"/>
      <c r="C3" s="255"/>
      <c r="D3" s="255"/>
      <c r="E3" s="255"/>
      <c r="F3" s="255"/>
      <c r="G3" s="256"/>
    </row>
    <row r="4" s="2" customFormat="1" ht="11.25" thickBot="1"/>
    <row r="5" spans="1:7" ht="13.5" customHeight="1" thickBot="1" thickTop="1">
      <c r="A5" s="284" t="s">
        <v>235</v>
      </c>
      <c r="B5" s="285"/>
      <c r="C5" s="285"/>
      <c r="D5" s="285"/>
      <c r="E5" s="285"/>
      <c r="F5" s="285"/>
      <c r="G5" s="286"/>
    </row>
    <row r="6" spans="1:7" ht="12.75" customHeight="1" thickTop="1">
      <c r="A6" s="205" t="s">
        <v>203</v>
      </c>
      <c r="B6" s="31" t="s">
        <v>204</v>
      </c>
      <c r="C6" s="174">
        <v>0.995</v>
      </c>
      <c r="D6" s="17"/>
      <c r="E6" s="31" t="s">
        <v>225</v>
      </c>
      <c r="F6" s="11" t="s">
        <v>226</v>
      </c>
      <c r="G6" s="42">
        <v>80</v>
      </c>
    </row>
    <row r="7" spans="1:7" ht="12.75" customHeight="1">
      <c r="A7" s="30" t="s">
        <v>205</v>
      </c>
      <c r="B7" s="30" t="s">
        <v>206</v>
      </c>
      <c r="C7" s="175">
        <v>3000</v>
      </c>
      <c r="D7" s="18"/>
      <c r="E7" s="180" t="s">
        <v>227</v>
      </c>
      <c r="F7" s="3" t="s">
        <v>228</v>
      </c>
      <c r="G7" s="72">
        <v>35</v>
      </c>
    </row>
    <row r="8" spans="1:9" ht="12.75" customHeight="1">
      <c r="A8" s="30" t="s">
        <v>208</v>
      </c>
      <c r="B8" s="30" t="s">
        <v>207</v>
      </c>
      <c r="C8" s="176">
        <v>0.5</v>
      </c>
      <c r="D8" s="18" t="s">
        <v>153</v>
      </c>
      <c r="E8" s="30" t="s">
        <v>229</v>
      </c>
      <c r="F8" s="3" t="s">
        <v>230</v>
      </c>
      <c r="G8" s="42">
        <v>8</v>
      </c>
      <c r="H8" s="1" t="s">
        <v>153</v>
      </c>
      <c r="I8" s="1" t="s">
        <v>153</v>
      </c>
    </row>
    <row r="9" spans="1:9" ht="12.75" customHeight="1">
      <c r="A9" s="30" t="s">
        <v>210</v>
      </c>
      <c r="B9" s="30" t="s">
        <v>209</v>
      </c>
      <c r="C9" s="177">
        <v>350</v>
      </c>
      <c r="D9" s="18" t="s">
        <v>153</v>
      </c>
      <c r="E9" s="209"/>
      <c r="F9" s="210"/>
      <c r="G9" s="163"/>
      <c r="I9" s="1" t="s">
        <v>153</v>
      </c>
    </row>
    <row r="10" spans="1:9" ht="12.75" customHeight="1">
      <c r="A10" s="30" t="s">
        <v>212</v>
      </c>
      <c r="B10" s="30" t="s">
        <v>211</v>
      </c>
      <c r="C10" s="177">
        <v>1</v>
      </c>
      <c r="D10" s="18"/>
      <c r="E10" s="209" t="s">
        <v>232</v>
      </c>
      <c r="F10" s="211" t="s">
        <v>231</v>
      </c>
      <c r="G10" s="212">
        <f>0.0001</f>
        <v>0.0001</v>
      </c>
      <c r="I10" s="1" t="s">
        <v>153</v>
      </c>
    </row>
    <row r="11" spans="1:7" ht="12.75" customHeight="1">
      <c r="A11" s="30" t="s">
        <v>213</v>
      </c>
      <c r="B11" s="30" t="s">
        <v>214</v>
      </c>
      <c r="C11" s="178">
        <v>1</v>
      </c>
      <c r="D11" s="18"/>
      <c r="E11" s="209" t="s">
        <v>232</v>
      </c>
      <c r="F11" s="211" t="s">
        <v>233</v>
      </c>
      <c r="G11" s="208">
        <f>4*PI()*0.0000001</f>
        <v>1.2566370614359173E-06</v>
      </c>
    </row>
    <row r="12" spans="1:9" ht="12.75" customHeight="1">
      <c r="A12" s="32" t="s">
        <v>215</v>
      </c>
      <c r="B12" s="30" t="s">
        <v>216</v>
      </c>
      <c r="C12" s="44">
        <v>360</v>
      </c>
      <c r="D12" s="18"/>
      <c r="E12" s="209" t="s">
        <v>232</v>
      </c>
      <c r="F12" s="211" t="s">
        <v>234</v>
      </c>
      <c r="G12" s="212">
        <f>0.000000001</f>
        <v>1E-09</v>
      </c>
      <c r="I12" s="1" t="s">
        <v>153</v>
      </c>
    </row>
    <row r="13" spans="1:7" ht="12.75" customHeight="1">
      <c r="A13" s="30" t="s">
        <v>217</v>
      </c>
      <c r="B13" s="30" t="s">
        <v>218</v>
      </c>
      <c r="C13" s="44">
        <v>150</v>
      </c>
      <c r="D13" s="18"/>
      <c r="E13" s="209"/>
      <c r="F13" s="211"/>
      <c r="G13" s="163"/>
    </row>
    <row r="14" spans="1:7" ht="12.75" customHeight="1">
      <c r="A14" s="180" t="s">
        <v>219</v>
      </c>
      <c r="B14" s="30" t="s">
        <v>220</v>
      </c>
      <c r="C14" s="179">
        <v>0.95</v>
      </c>
      <c r="D14" s="18"/>
      <c r="E14" s="209"/>
      <c r="F14" s="211"/>
      <c r="G14" s="163"/>
    </row>
    <row r="15" spans="1:7" ht="12.75" customHeight="1">
      <c r="A15" s="30" t="s">
        <v>221</v>
      </c>
      <c r="B15" s="30" t="s">
        <v>222</v>
      </c>
      <c r="C15" s="42">
        <v>390</v>
      </c>
      <c r="D15" s="18" t="s">
        <v>153</v>
      </c>
      <c r="E15" s="209"/>
      <c r="F15" s="211"/>
      <c r="G15" s="163"/>
    </row>
    <row r="16" spans="1:7" ht="21.75" thickBot="1">
      <c r="A16" s="180" t="s">
        <v>223</v>
      </c>
      <c r="B16" s="30" t="s">
        <v>224</v>
      </c>
      <c r="C16" s="42">
        <v>265</v>
      </c>
      <c r="D16" s="18"/>
      <c r="E16" s="209"/>
      <c r="F16" s="211"/>
      <c r="G16" s="163"/>
    </row>
    <row r="17" spans="1:7" ht="12.75" customHeight="1" thickBot="1" thickTop="1">
      <c r="A17" s="181" t="s">
        <v>247</v>
      </c>
      <c r="B17" s="130"/>
      <c r="C17" s="130"/>
      <c r="D17" s="130"/>
      <c r="E17" s="132"/>
      <c r="F17" s="132"/>
      <c r="G17" s="132"/>
    </row>
    <row r="18" spans="1:7" ht="24.75" customHeight="1" thickTop="1">
      <c r="A18" s="34" t="s">
        <v>237</v>
      </c>
      <c r="B18" s="50" t="s">
        <v>236</v>
      </c>
      <c r="C18" s="185">
        <f>Po_ch*100000000*FK*unit/(4*eff_m*dB*Fs_min*1000*WF*CD*UF)*10000</f>
        <v>0.2051071684955389</v>
      </c>
      <c r="D18" s="9"/>
      <c r="E18" s="134" t="s">
        <v>249</v>
      </c>
      <c r="F18" s="134" t="s">
        <v>248</v>
      </c>
      <c r="G18" s="186">
        <f>2*SQRT(2)*Po_ch/(eff_pfc*V_Line_min)</f>
        <v>5.582421956735902</v>
      </c>
    </row>
    <row r="19" spans="1:7" ht="21">
      <c r="A19" s="183" t="s">
        <v>239</v>
      </c>
      <c r="B19" s="213" t="s">
        <v>238</v>
      </c>
      <c r="C19" s="184">
        <v>0.324</v>
      </c>
      <c r="D19" s="6"/>
      <c r="E19" s="134" t="s">
        <v>250</v>
      </c>
      <c r="F19" s="134" t="s">
        <v>251</v>
      </c>
      <c r="G19" s="187">
        <f>eff_pfc*V_Line_minf*V_Line_minf/(2*Po_ch*Fs_min*1000)*(Vout_pfc-SQRT(2)*V_Line_minf)/Vout_pfc*1000000</f>
        <v>248.17524727874496</v>
      </c>
    </row>
    <row r="20" spans="1:7" ht="12.75">
      <c r="A20" s="183" t="s">
        <v>240</v>
      </c>
      <c r="B20" s="35" t="s">
        <v>241</v>
      </c>
      <c r="C20" s="236">
        <v>69</v>
      </c>
      <c r="D20" s="6"/>
      <c r="E20" s="134" t="s">
        <v>252</v>
      </c>
      <c r="F20" s="134" t="s">
        <v>254</v>
      </c>
      <c r="G20" s="182">
        <f>IL_pk*L_pfc*0.000001/(Ae_core*0.000001*dB/10000)</f>
        <v>66.92845166798202</v>
      </c>
    </row>
    <row r="21" spans="1:7" ht="12.75" customHeight="1">
      <c r="A21" s="35" t="s">
        <v>271</v>
      </c>
      <c r="B21" s="35" t="s">
        <v>242</v>
      </c>
      <c r="C21" s="237">
        <v>52.9</v>
      </c>
      <c r="D21" s="6"/>
      <c r="E21" s="134" t="s">
        <v>255</v>
      </c>
      <c r="F21" s="134" t="s">
        <v>253</v>
      </c>
      <c r="G21" s="188">
        <f>L_pfc*0.000001/(N_boost*N_boost)*1000000</f>
        <v>0.05540346247567777</v>
      </c>
    </row>
    <row r="22" spans="1:7" ht="12.75">
      <c r="A22" s="35" t="s">
        <v>243</v>
      </c>
      <c r="B22" s="35" t="s">
        <v>244</v>
      </c>
      <c r="C22" s="237">
        <v>20.1</v>
      </c>
      <c r="D22" s="6"/>
      <c r="E22" s="134" t="s">
        <v>256</v>
      </c>
      <c r="F22" s="134" t="s">
        <v>257</v>
      </c>
      <c r="G22" s="189">
        <f>uo*N_boost*N_boost*Ae_core*0.000001/(L_pfc*0.000001)*1000</f>
        <v>1.5650277683843903</v>
      </c>
    </row>
    <row r="23" spans="1:7" ht="13.5" thickBot="1">
      <c r="A23" s="35" t="s">
        <v>245</v>
      </c>
      <c r="B23" s="35" t="s">
        <v>246</v>
      </c>
      <c r="C23" s="236">
        <v>52.3</v>
      </c>
      <c r="D23" s="6"/>
      <c r="E23" s="134" t="s">
        <v>258</v>
      </c>
      <c r="F23" s="134" t="s">
        <v>259</v>
      </c>
      <c r="G23" s="190">
        <f>Fs_min*10</f>
        <v>350</v>
      </c>
    </row>
    <row r="24" spans="1:7" ht="12" customHeight="1" thickTop="1">
      <c r="A24" s="287" t="s">
        <v>260</v>
      </c>
      <c r="B24" s="288"/>
      <c r="C24" s="288"/>
      <c r="D24" s="288"/>
      <c r="E24" s="288"/>
      <c r="F24" s="288"/>
      <c r="G24" s="289"/>
    </row>
    <row r="25" spans="1:7" ht="12" customHeight="1">
      <c r="A25" s="183" t="s">
        <v>261</v>
      </c>
      <c r="B25" s="35" t="s">
        <v>262</v>
      </c>
      <c r="C25" s="27">
        <f>Po_ch/(eff_pfc*V_Line_min)</f>
        <v>1.9736842105263157</v>
      </c>
      <c r="D25" s="6"/>
      <c r="E25" s="134" t="s">
        <v>270</v>
      </c>
      <c r="F25" s="134" t="s">
        <v>273</v>
      </c>
      <c r="G25" s="182">
        <f>N_boost*V_zcd/(Vout_pfc*0.5)</f>
        <v>2.7457826325325954</v>
      </c>
    </row>
    <row r="26" spans="1:7" ht="21">
      <c r="A26" s="183" t="s">
        <v>263</v>
      </c>
      <c r="B26" s="35" t="s">
        <v>264</v>
      </c>
      <c r="C26" s="191">
        <f>I_in*CD</f>
        <v>690.7894736842105</v>
      </c>
      <c r="D26" s="6"/>
      <c r="E26" s="193" t="s">
        <v>272</v>
      </c>
      <c r="F26" s="193" t="s">
        <v>274</v>
      </c>
      <c r="G26" s="197">
        <f>CEILING(N_zcd,1)</f>
        <v>3</v>
      </c>
    </row>
    <row r="27" spans="1:7" ht="12.75">
      <c r="A27" s="194" t="s">
        <v>266</v>
      </c>
      <c r="B27" s="195" t="s">
        <v>267</v>
      </c>
      <c r="C27" s="196">
        <f>65/SQRT(Fs_max*1000)</f>
        <v>0.10987005311470716</v>
      </c>
      <c r="D27" s="6"/>
      <c r="E27" s="193"/>
      <c r="F27" s="193"/>
      <c r="G27" s="193"/>
    </row>
    <row r="28" spans="1:7" ht="21">
      <c r="A28" s="194" t="s">
        <v>268</v>
      </c>
      <c r="B28" s="35" t="s">
        <v>269</v>
      </c>
      <c r="C28" s="196">
        <f>2*SD</f>
        <v>0.2197401062294143</v>
      </c>
      <c r="D28" s="6"/>
      <c r="E28" s="193"/>
      <c r="F28" s="193"/>
      <c r="G28" s="193"/>
    </row>
    <row r="29" spans="1:7" ht="13.5" thickBot="1">
      <c r="A29" s="290" t="s">
        <v>293</v>
      </c>
      <c r="B29" s="291"/>
      <c r="C29" s="291"/>
      <c r="D29" s="291"/>
      <c r="E29" s="291"/>
      <c r="F29" s="291"/>
      <c r="G29" s="291"/>
    </row>
    <row r="30" spans="1:7" ht="23.25" thickTop="1">
      <c r="A30" s="198" t="s">
        <v>276</v>
      </c>
      <c r="B30" s="37" t="s">
        <v>275</v>
      </c>
      <c r="C30" s="199">
        <f>53.1824*0.001</f>
        <v>0.053182400000000005</v>
      </c>
      <c r="D30" s="10"/>
      <c r="E30" s="38" t="s">
        <v>284</v>
      </c>
      <c r="F30" s="38" t="s">
        <v>285</v>
      </c>
      <c r="G30" s="204">
        <v>0.07</v>
      </c>
    </row>
    <row r="31" spans="1:7" ht="21">
      <c r="A31" s="200" t="s">
        <v>277</v>
      </c>
      <c r="B31" s="201" t="s">
        <v>278</v>
      </c>
      <c r="C31" s="202">
        <v>0.7366</v>
      </c>
      <c r="D31" s="7"/>
      <c r="E31" s="38" t="s">
        <v>153</v>
      </c>
      <c r="F31" s="201" t="s">
        <v>286</v>
      </c>
      <c r="G31" s="203">
        <f>2*N_cu_layers</f>
        <v>10</v>
      </c>
    </row>
    <row r="32" spans="1:8" ht="21">
      <c r="A32" s="214" t="s">
        <v>40</v>
      </c>
      <c r="B32" s="215" t="s">
        <v>279</v>
      </c>
      <c r="C32" s="216">
        <f>litz_mean_OD*2</f>
        <v>1.4732</v>
      </c>
      <c r="D32" s="217"/>
      <c r="E32" s="218" t="s">
        <v>288</v>
      </c>
      <c r="F32" s="214" t="s">
        <v>287</v>
      </c>
      <c r="G32" s="219">
        <f>N_cu_layers*WW*litz_mean_OD/2</f>
        <v>37.01415</v>
      </c>
      <c r="H32" s="220"/>
    </row>
    <row r="33" spans="1:8" ht="21">
      <c r="A33" s="214" t="s">
        <v>280</v>
      </c>
      <c r="B33" s="214" t="s">
        <v>281</v>
      </c>
      <c r="C33" s="221">
        <f>ROUND(WW/litz_OD_wound,0)</f>
        <v>14</v>
      </c>
      <c r="D33" s="217"/>
      <c r="E33" s="218" t="s">
        <v>289</v>
      </c>
      <c r="F33" s="214" t="s">
        <v>290</v>
      </c>
      <c r="G33" s="222">
        <f>N_tape_layers*tape_thick*WW</f>
        <v>14.070000000000002</v>
      </c>
      <c r="H33" s="220"/>
    </row>
    <row r="34" spans="1:8" ht="12.75">
      <c r="A34" s="214" t="s">
        <v>282</v>
      </c>
      <c r="B34" s="214" t="s">
        <v>283</v>
      </c>
      <c r="C34" s="221">
        <f>ROUND(N_boost/Turns_layer,0)</f>
        <v>5</v>
      </c>
      <c r="D34" s="217"/>
      <c r="E34" s="214" t="s">
        <v>292</v>
      </c>
      <c r="F34" s="215" t="s">
        <v>291</v>
      </c>
      <c r="G34" s="219">
        <f>Cu_Area+tape_Area</f>
        <v>51.08415</v>
      </c>
      <c r="H34" s="220"/>
    </row>
    <row r="35" spans="1:8" ht="13.5" customHeight="1" thickBot="1">
      <c r="A35" s="223" t="s">
        <v>294</v>
      </c>
      <c r="B35" s="224"/>
      <c r="C35" s="224"/>
      <c r="D35" s="224"/>
      <c r="E35" s="224"/>
      <c r="F35" s="224"/>
      <c r="G35" s="224"/>
      <c r="H35" s="220"/>
    </row>
    <row r="36" spans="1:8" ht="21.75" thickTop="1">
      <c r="A36" s="225" t="s">
        <v>298</v>
      </c>
      <c r="B36" s="226" t="s">
        <v>295</v>
      </c>
      <c r="C36" s="227">
        <f>N_boost*MLT*Res_litz*0.001</f>
        <v>0.18829308989452748</v>
      </c>
      <c r="D36" s="228"/>
      <c r="E36" s="218" t="s">
        <v>296</v>
      </c>
      <c r="F36" s="214" t="s">
        <v>297</v>
      </c>
      <c r="G36" s="229">
        <f>I_in*I_in*Rdc</f>
        <v>0.7334824312027126</v>
      </c>
      <c r="H36" s="220"/>
    </row>
    <row r="37" spans="1:8" ht="12.75">
      <c r="A37" s="230"/>
      <c r="B37" s="231"/>
      <c r="C37" s="232"/>
      <c r="D37" s="233"/>
      <c r="E37" s="230"/>
      <c r="F37" s="231"/>
      <c r="G37" s="234"/>
      <c r="H37" s="220"/>
    </row>
    <row r="38" spans="1:8" ht="12.75">
      <c r="A38" s="220"/>
      <c r="B38" s="220"/>
      <c r="C38" s="235"/>
      <c r="D38" s="220"/>
      <c r="E38" s="220"/>
      <c r="F38" s="220"/>
      <c r="G38" s="220"/>
      <c r="H38" s="220"/>
    </row>
    <row r="39" spans="1:7" ht="37.5" customHeight="1">
      <c r="A39" s="259" t="s">
        <v>161</v>
      </c>
      <c r="B39" s="260"/>
      <c r="C39" s="260"/>
      <c r="D39" s="260"/>
      <c r="E39" s="260"/>
      <c r="F39" s="260"/>
      <c r="G39" s="261"/>
    </row>
    <row r="40" spans="1:7" ht="12.75">
      <c r="A40" s="157"/>
      <c r="B40" s="157"/>
      <c r="C40" s="157"/>
      <c r="D40" s="157"/>
      <c r="E40" s="157"/>
      <c r="F40" s="157"/>
      <c r="G40" s="157"/>
    </row>
    <row r="41" ht="12.75"/>
    <row r="42" spans="1:7" ht="12.75">
      <c r="A42" s="246" t="s">
        <v>199</v>
      </c>
      <c r="B42" s="158" t="s">
        <v>194</v>
      </c>
      <c r="C42" s="262" t="str">
        <f>Project</f>
        <v> </v>
      </c>
      <c r="D42" s="263"/>
      <c r="E42" s="263"/>
      <c r="F42" s="263"/>
      <c r="G42" s="263"/>
    </row>
    <row r="43" spans="1:7" ht="12.75">
      <c r="A43" s="247"/>
      <c r="B43" s="158" t="s">
        <v>195</v>
      </c>
      <c r="C43" s="262" t="str">
        <f>Designer</f>
        <v> </v>
      </c>
      <c r="D43" s="263"/>
      <c r="E43" s="263"/>
      <c r="F43" s="263"/>
      <c r="G43" s="263"/>
    </row>
    <row r="44" spans="1:7" ht="12" customHeight="1">
      <c r="A44" s="247"/>
      <c r="B44" s="159" t="s">
        <v>90</v>
      </c>
      <c r="C44" s="264" t="str">
        <f>Date_Design</f>
        <v> </v>
      </c>
      <c r="D44" s="265"/>
      <c r="E44" s="265"/>
      <c r="F44" s="265"/>
      <c r="G44" s="265"/>
    </row>
    <row r="45" spans="1:7" ht="12.75">
      <c r="A45" s="131"/>
      <c r="B45" s="131"/>
      <c r="C45" s="131"/>
      <c r="D45" s="131"/>
      <c r="E45" s="131"/>
      <c r="F45" s="131"/>
      <c r="G45" s="131"/>
    </row>
    <row r="46" spans="1:7" ht="12.75">
      <c r="A46" s="12" t="str">
        <f>Copy_Right</f>
        <v>© 2010 Fairchild Semiconductor Corporation.  All rights reserved.</v>
      </c>
      <c r="F46" s="252" t="s">
        <v>80</v>
      </c>
      <c r="G46" s="252"/>
    </row>
    <row r="47" ht="12.75">
      <c r="A47" s="12" t="str">
        <f>CONCATENATE("Rev. ",[0]!Rev,"  ·  ",TEXT([0]!Date,"mm/dd/yyyy"),"  ·  M. Smith")</f>
        <v>Rev. 3  ·  06/01/2010  ·  M. Smith</v>
      </c>
    </row>
  </sheetData>
  <sheetProtection password="995D" sheet="1" objects="1" scenarios="1" selectLockedCells="1"/>
  <mergeCells count="11">
    <mergeCell ref="C44:G44"/>
    <mergeCell ref="A1:G1"/>
    <mergeCell ref="A3:G3"/>
    <mergeCell ref="A5:G5"/>
    <mergeCell ref="A24:G24"/>
    <mergeCell ref="F46:G46"/>
    <mergeCell ref="A29:G29"/>
    <mergeCell ref="A39:G39"/>
    <mergeCell ref="A42:A44"/>
    <mergeCell ref="C42:G42"/>
    <mergeCell ref="C43:G43"/>
  </mergeCells>
  <conditionalFormatting sqref="C6">
    <cfRule type="expression" priority="3" dxfId="0" stopIfTrue="1">
      <formula>$C$6&gt;1</formula>
    </cfRule>
    <cfRule type="expression" priority="52" dxfId="0" stopIfTrue="1">
      <formula>NOT(ISNUMBER($C$6))</formula>
    </cfRule>
  </conditionalFormatting>
  <conditionalFormatting sqref="C7">
    <cfRule type="expression" priority="51" dxfId="0" stopIfTrue="1">
      <formula>NOT(ISNUMBER($C$7))</formula>
    </cfRule>
  </conditionalFormatting>
  <conditionalFormatting sqref="C8">
    <cfRule type="expression" priority="2" dxfId="0" stopIfTrue="1">
      <formula>$C$8&gt;1</formula>
    </cfRule>
    <cfRule type="expression" priority="50" dxfId="0" stopIfTrue="1">
      <formula>NOT(ISNUMBER($C$8))</formula>
    </cfRule>
  </conditionalFormatting>
  <conditionalFormatting sqref="C9">
    <cfRule type="expression" priority="49" dxfId="0" stopIfTrue="1">
      <formula>NOT(ISNUMBER($C$9))</formula>
    </cfRule>
  </conditionalFormatting>
  <conditionalFormatting sqref="C10">
    <cfRule type="expression" priority="48" dxfId="0" stopIfTrue="1">
      <formula>NOT(ISNUMBER($C$10))</formula>
    </cfRule>
  </conditionalFormatting>
  <conditionalFormatting sqref="C11">
    <cfRule type="expression" priority="47" dxfId="0" stopIfTrue="1">
      <formula>NOT(ISNUMBER($C$11))</formula>
    </cfRule>
  </conditionalFormatting>
  <conditionalFormatting sqref="C12">
    <cfRule type="expression" priority="46" dxfId="0" stopIfTrue="1">
      <formula>NOT(ISNUMBER($C$12))</formula>
    </cfRule>
  </conditionalFormatting>
  <conditionalFormatting sqref="C13">
    <cfRule type="expression" priority="45" dxfId="0" stopIfTrue="1">
      <formula>NOT(ISNUMBER($C$13))</formula>
    </cfRule>
  </conditionalFormatting>
  <conditionalFormatting sqref="C14">
    <cfRule type="expression" priority="1" dxfId="0" stopIfTrue="1">
      <formula>$C$14&gt;1</formula>
    </cfRule>
    <cfRule type="expression" priority="44" dxfId="0" stopIfTrue="1">
      <formula>NOT(ISNUMBER($C$14))</formula>
    </cfRule>
  </conditionalFormatting>
  <conditionalFormatting sqref="C15">
    <cfRule type="expression" priority="43" dxfId="0" stopIfTrue="1">
      <formula>NOT(ISNUMBER($C$15))</formula>
    </cfRule>
  </conditionalFormatting>
  <conditionalFormatting sqref="C16">
    <cfRule type="expression" priority="42" dxfId="0" stopIfTrue="1">
      <formula>NOT(ISNUMBER($C$16))</formula>
    </cfRule>
  </conditionalFormatting>
  <conditionalFormatting sqref="G6">
    <cfRule type="expression" priority="41" dxfId="0" stopIfTrue="1">
      <formula>NOT(ISNUMBER($G$6))</formula>
    </cfRule>
  </conditionalFormatting>
  <conditionalFormatting sqref="G7">
    <cfRule type="expression" priority="40" dxfId="0" stopIfTrue="1">
      <formula>NOT(ISNUMBER($G$7))</formula>
    </cfRule>
  </conditionalFormatting>
  <conditionalFormatting sqref="G8">
    <cfRule type="expression" priority="39" dxfId="0" stopIfTrue="1">
      <formula>NOT(ISNUMBER($G$8))</formula>
    </cfRule>
  </conditionalFormatting>
  <conditionalFormatting sqref="C18">
    <cfRule type="expression" priority="38" dxfId="0" stopIfTrue="1">
      <formula>NOT(ISNUMBER($C$18))</formula>
    </cfRule>
  </conditionalFormatting>
  <conditionalFormatting sqref="C19">
    <cfRule type="expression" priority="37" dxfId="0" stopIfTrue="1">
      <formula>NOT(ISNUMBER($C$19))</formula>
    </cfRule>
  </conditionalFormatting>
  <conditionalFormatting sqref="C20">
    <cfRule type="expression" priority="36" dxfId="0" stopIfTrue="1">
      <formula>NOT(ISNUMBER($C$20))</formula>
    </cfRule>
  </conditionalFormatting>
  <conditionalFormatting sqref="C21">
    <cfRule type="expression" priority="35" dxfId="0" stopIfTrue="1">
      <formula>NOT(ISNUMBER($C$21))</formula>
    </cfRule>
  </conditionalFormatting>
  <conditionalFormatting sqref="C22">
    <cfRule type="expression" priority="34" dxfId="0" stopIfTrue="1">
      <formula>NOT(ISNUMBER($C$22))</formula>
    </cfRule>
  </conditionalFormatting>
  <conditionalFormatting sqref="C23">
    <cfRule type="expression" priority="33" dxfId="0" stopIfTrue="1">
      <formula>NOT(ISNUMBER($C$23))</formula>
    </cfRule>
  </conditionalFormatting>
  <conditionalFormatting sqref="G10">
    <cfRule type="expression" priority="32" dxfId="0" stopIfTrue="1">
      <formula>NOT(ISNUMBER($G$10))</formula>
    </cfRule>
  </conditionalFormatting>
  <conditionalFormatting sqref="G11">
    <cfRule type="expression" priority="31" dxfId="0" stopIfTrue="1">
      <formula>NOT(ISNUMBER($G$11))</formula>
    </cfRule>
  </conditionalFormatting>
  <conditionalFormatting sqref="G12">
    <cfRule type="expression" priority="30" dxfId="0" stopIfTrue="1">
      <formula>NOT(ISNUMBER($G$12))</formula>
    </cfRule>
  </conditionalFormatting>
  <conditionalFormatting sqref="G18">
    <cfRule type="expression" priority="29" dxfId="0" stopIfTrue="1">
      <formula>NOT(ISNUMBER($G$18))</formula>
    </cfRule>
  </conditionalFormatting>
  <conditionalFormatting sqref="G19">
    <cfRule type="expression" priority="28" dxfId="0" stopIfTrue="1">
      <formula>NOT(ISNUMBER($G$19))</formula>
    </cfRule>
  </conditionalFormatting>
  <conditionalFormatting sqref="G20">
    <cfRule type="expression" priority="27" dxfId="0" stopIfTrue="1">
      <formula>NOT(ISNUMBER($G$20))</formula>
    </cfRule>
  </conditionalFormatting>
  <conditionalFormatting sqref="G21">
    <cfRule type="expression" priority="26" dxfId="0" stopIfTrue="1">
      <formula>NOT(ISNUMBER($G$21))</formula>
    </cfRule>
  </conditionalFormatting>
  <conditionalFormatting sqref="G22">
    <cfRule type="expression" priority="25" dxfId="0" stopIfTrue="1">
      <formula>NOT(ISNUMBER($G$22))</formula>
    </cfRule>
  </conditionalFormatting>
  <conditionalFormatting sqref="G23">
    <cfRule type="expression" priority="24" dxfId="0" stopIfTrue="1">
      <formula>NOT(ISNUMBER($G$23))</formula>
    </cfRule>
  </conditionalFormatting>
  <conditionalFormatting sqref="C25">
    <cfRule type="expression" priority="23" dxfId="0" stopIfTrue="1">
      <formula>NOT(ISNUMBER($C$25))</formula>
    </cfRule>
  </conditionalFormatting>
  <conditionalFormatting sqref="C26">
    <cfRule type="expression" priority="22" dxfId="0" stopIfTrue="1">
      <formula>NOT(ISNUMBER($C$26))</formula>
    </cfRule>
  </conditionalFormatting>
  <conditionalFormatting sqref="C27">
    <cfRule type="expression" priority="21" dxfId="0" stopIfTrue="1">
      <formula>NOT(ISNUMBER($C$27))</formula>
    </cfRule>
  </conditionalFormatting>
  <conditionalFormatting sqref="C28">
    <cfRule type="expression" priority="20" dxfId="0" stopIfTrue="1">
      <formula>NOT(ISNUMBER($C$28))</formula>
    </cfRule>
  </conditionalFormatting>
  <conditionalFormatting sqref="G25">
    <cfRule type="expression" priority="19" dxfId="0" stopIfTrue="1">
      <formula>NOT(ISNUMBER($G$25))</formula>
    </cfRule>
  </conditionalFormatting>
  <conditionalFormatting sqref="G26">
    <cfRule type="expression" priority="18" dxfId="0" stopIfTrue="1">
      <formula>NOT(ISNUMBER($G$26))</formula>
    </cfRule>
  </conditionalFormatting>
  <conditionalFormatting sqref="C30">
    <cfRule type="expression" priority="15" dxfId="0" stopIfTrue="1">
      <formula>NOT(ISNUMBER($C$30))</formula>
    </cfRule>
  </conditionalFormatting>
  <conditionalFormatting sqref="C31">
    <cfRule type="expression" priority="14" dxfId="0" stopIfTrue="1">
      <formula>NOT(ISNUMBER($C$31))</formula>
    </cfRule>
  </conditionalFormatting>
  <conditionalFormatting sqref="C32">
    <cfRule type="expression" priority="13" dxfId="0" stopIfTrue="1">
      <formula>NOT(ISNUMBER($C$32))</formula>
    </cfRule>
  </conditionalFormatting>
  <conditionalFormatting sqref="C33">
    <cfRule type="expression" priority="12" dxfId="0" stopIfTrue="1">
      <formula>NOT(ISNUMBER($C$33))</formula>
    </cfRule>
  </conditionalFormatting>
  <conditionalFormatting sqref="C34">
    <cfRule type="expression" priority="11" dxfId="0" stopIfTrue="1">
      <formula>NOT(ISNUMBER($C$34))</formula>
    </cfRule>
  </conditionalFormatting>
  <conditionalFormatting sqref="G30">
    <cfRule type="expression" priority="10" dxfId="0" stopIfTrue="1">
      <formula>NOT(ISNUMBER($G$30))</formula>
    </cfRule>
  </conditionalFormatting>
  <conditionalFormatting sqref="G31">
    <cfRule type="expression" priority="9" dxfId="0" stopIfTrue="1">
      <formula>NOT(ISNUMBER($G$31))</formula>
    </cfRule>
  </conditionalFormatting>
  <conditionalFormatting sqref="G32">
    <cfRule type="expression" priority="8" dxfId="0" stopIfTrue="1">
      <formula>NOT(ISNUMBER($G$32))</formula>
    </cfRule>
  </conditionalFormatting>
  <conditionalFormatting sqref="G33">
    <cfRule type="expression" priority="7" dxfId="0" stopIfTrue="1">
      <formula>NOT(ISNUMBER($G$33))</formula>
    </cfRule>
  </conditionalFormatting>
  <conditionalFormatting sqref="G34">
    <cfRule type="expression" priority="6" dxfId="0" stopIfTrue="1">
      <formula>NOT(ISNUMBER($G$34))</formula>
    </cfRule>
  </conditionalFormatting>
  <conditionalFormatting sqref="G36">
    <cfRule type="expression" priority="5" dxfId="0" stopIfTrue="1">
      <formula>NOT(ISNUMBER($G$36))</formula>
    </cfRule>
  </conditionalFormatting>
  <conditionalFormatting sqref="C36">
    <cfRule type="expression" priority="4" dxfId="0" stopIfTrue="1">
      <formula>NOT(ISNUMBER($C$36))</formula>
    </cfRule>
  </conditionalFormatting>
  <dataValidations count="1">
    <dataValidation allowBlank="1" sqref="C6"/>
  </dataValidations>
  <printOptions horizontalCentered="1"/>
  <pageMargins left="0.25" right="0.25" top="0.5" bottom="0.5" header="0.25" footer="0.25"/>
  <pageSetup horizontalDpi="600" verticalDpi="600" orientation="portrait" scale="95" r:id="rId6"/>
  <drawing r:id="rId5"/>
  <legacyDrawing r:id="rId4"/>
  <oleObjects>
    <oleObject progId="Excel.Sheet.12" shapeId="772082" r:id="rId2"/>
    <oleObject progId="Excel.Sheet.12" shapeId="772083" r:id="rId3"/>
  </oleObjects>
</worksheet>
</file>

<file path=xl/worksheets/sheet9.xml><?xml version="1.0" encoding="utf-8"?>
<worksheet xmlns="http://schemas.openxmlformats.org/spreadsheetml/2006/main" xmlns:r="http://schemas.openxmlformats.org/officeDocument/2006/relationships">
  <dimension ref="A1:S194"/>
  <sheetViews>
    <sheetView zoomScalePageLayoutView="0" workbookViewId="0" topLeftCell="A1">
      <selection activeCell="A4" sqref="A4"/>
    </sheetView>
  </sheetViews>
  <sheetFormatPr defaultColWidth="9.140625" defaultRowHeight="12.75"/>
  <cols>
    <col min="2" max="2" width="10.7109375" style="0" customWidth="1"/>
    <col min="3" max="3" width="11.7109375" style="0" customWidth="1"/>
    <col min="10" max="10" width="7.7109375" style="0" customWidth="1"/>
    <col min="11" max="11" width="7.8515625" style="0" customWidth="1"/>
    <col min="12" max="12" width="8.140625" style="0" customWidth="1"/>
    <col min="13" max="13" width="7.8515625" style="0" customWidth="1"/>
    <col min="14" max="14" width="7.57421875" style="0" customWidth="1"/>
    <col min="15" max="15" width="9.00390625" style="0" customWidth="1"/>
    <col min="16" max="16" width="11.421875" style="0" customWidth="1"/>
    <col min="17" max="17" width="13.140625" style="0" customWidth="1"/>
    <col min="18" max="18" width="8.140625" style="0" customWidth="1"/>
    <col min="19" max="19" width="10.140625" style="0" customWidth="1"/>
  </cols>
  <sheetData>
    <row r="1" spans="1:9" ht="12.75">
      <c r="A1" s="240" t="s">
        <v>305</v>
      </c>
      <c r="B1" s="240"/>
      <c r="C1" s="240"/>
      <c r="D1" s="240"/>
      <c r="E1" s="240"/>
      <c r="F1" s="240"/>
      <c r="G1" s="240"/>
      <c r="H1" s="292"/>
      <c r="I1" s="292"/>
    </row>
    <row r="2" spans="1:9" ht="12.75">
      <c r="A2" s="292"/>
      <c r="B2" s="292"/>
      <c r="C2" s="292"/>
      <c r="D2" s="292"/>
      <c r="E2" s="292"/>
      <c r="F2" s="292"/>
      <c r="G2" s="292"/>
      <c r="H2" s="292"/>
      <c r="I2" s="292"/>
    </row>
    <row r="3" spans="1:9" ht="12.75">
      <c r="A3" s="292"/>
      <c r="B3" s="292"/>
      <c r="C3" s="292"/>
      <c r="D3" s="292"/>
      <c r="E3" s="292"/>
      <c r="F3" s="292"/>
      <c r="G3" s="292"/>
      <c r="H3" s="292"/>
      <c r="I3" s="292"/>
    </row>
    <row r="4" spans="11:15" ht="12.75">
      <c r="K4" s="144" t="s">
        <v>197</v>
      </c>
      <c r="L4" s="144">
        <f>Io_dc+0.001</f>
        <v>0.9677152344407138</v>
      </c>
      <c r="M4" t="s">
        <v>198</v>
      </c>
      <c r="O4" s="144"/>
    </row>
    <row r="5" spans="11:17" ht="12.75">
      <c r="K5" s="144" t="s">
        <v>165</v>
      </c>
      <c r="L5" s="146">
        <f>2/(2*PI()*(Vout_actual/(Io_dcp))*Cout_actual*0.000001)</f>
        <v>1.751177921210556</v>
      </c>
      <c r="M5" s="145" t="s">
        <v>169</v>
      </c>
      <c r="O5" s="144" t="s">
        <v>172</v>
      </c>
      <c r="P5" s="146">
        <f>Iopk_actual/4.1*(Vout_actual/(Io_dcp))/2</f>
        <v>63.31334229210461</v>
      </c>
      <c r="Q5" s="146"/>
    </row>
    <row r="6" spans="11:17" ht="12.75">
      <c r="K6" s="144" t="s">
        <v>174</v>
      </c>
      <c r="L6" s="146">
        <f>3/Vout_actual*0.00008/(2*PI()*Ccomplf_actual*0.000000001)</f>
        <v>0.24499206057259407</v>
      </c>
      <c r="M6" s="145" t="s">
        <v>169</v>
      </c>
      <c r="O6" s="144" t="s">
        <v>173</v>
      </c>
      <c r="P6" s="146">
        <f>2*PI()*fp</f>
        <v>11.002975384807456</v>
      </c>
      <c r="Q6" s="146"/>
    </row>
    <row r="7" spans="11:15" ht="12.75">
      <c r="K7" s="144" t="s">
        <v>170</v>
      </c>
      <c r="L7" s="146">
        <f>1/(2*PI()*Rcomp_actual*1000*Ccomplf_actual*0.000000001)</f>
        <v>5.9925051053087595</v>
      </c>
      <c r="M7" s="145" t="s">
        <v>169</v>
      </c>
      <c r="O7" s="144"/>
    </row>
    <row r="8" spans="11:15" ht="12.75">
      <c r="K8" s="144" t="s">
        <v>171</v>
      </c>
      <c r="L8" s="146">
        <f>1/(2*PI()*Rcomp_actual*1000*Ccomphf_actual*0.000000001)</f>
        <v>155.80513273802777</v>
      </c>
      <c r="M8" s="145" t="s">
        <v>169</v>
      </c>
      <c r="O8" s="144"/>
    </row>
    <row r="9" spans="11:15" ht="12.75">
      <c r="K9" s="144"/>
      <c r="L9" s="146"/>
      <c r="M9" s="145"/>
      <c r="O9" s="144"/>
    </row>
    <row r="10" spans="11:16" ht="12.75">
      <c r="K10" s="144" t="s">
        <v>175</v>
      </c>
      <c r="L10" s="146">
        <f>2*PI()*f1a</f>
        <v>1.5393305153653742</v>
      </c>
      <c r="M10" s="145"/>
      <c r="O10" s="144" t="s">
        <v>183</v>
      </c>
      <c r="P10" s="146">
        <f>MIN(Q15:Q140)</f>
        <v>0.4098588041155464</v>
      </c>
    </row>
    <row r="11" spans="11:17" ht="12.75">
      <c r="K11" s="144" t="s">
        <v>177</v>
      </c>
      <c r="L11" s="146">
        <f>2*PI()*fcz</f>
        <v>37.65202003087466</v>
      </c>
      <c r="M11" s="145"/>
      <c r="O11" s="149" t="s">
        <v>186</v>
      </c>
      <c r="P11" s="148">
        <f>MAX(R15:R140)</f>
        <v>6.309573444801954</v>
      </c>
      <c r="Q11" t="s">
        <v>169</v>
      </c>
    </row>
    <row r="12" spans="11:17" ht="12.75">
      <c r="K12" s="144" t="s">
        <v>176</v>
      </c>
      <c r="L12" s="146">
        <f>2*PI()*fcp</f>
        <v>978.9525208027412</v>
      </c>
      <c r="O12" s="149" t="s">
        <v>187</v>
      </c>
      <c r="P12" s="148">
        <f>MAX(S15:S140)</f>
        <v>59.668995758365824</v>
      </c>
      <c r="Q12" t="s">
        <v>185</v>
      </c>
    </row>
    <row r="14" spans="10:19" ht="12.75">
      <c r="J14" s="144" t="s">
        <v>163</v>
      </c>
      <c r="K14" s="145" t="s">
        <v>164</v>
      </c>
      <c r="L14" s="144" t="s">
        <v>166</v>
      </c>
      <c r="M14" s="144" t="s">
        <v>167</v>
      </c>
      <c r="N14" s="144" t="s">
        <v>168</v>
      </c>
      <c r="O14" s="144" t="s">
        <v>178</v>
      </c>
      <c r="P14" s="144" t="s">
        <v>179</v>
      </c>
      <c r="Q14" s="144" t="s">
        <v>184</v>
      </c>
      <c r="R14" s="144" t="s">
        <v>181</v>
      </c>
      <c r="S14" s="144" t="s">
        <v>182</v>
      </c>
    </row>
    <row r="15" spans="10:19" ht="12.75">
      <c r="J15" s="144">
        <v>0.1</v>
      </c>
      <c r="K15" s="146" t="str">
        <f aca="true" t="shared" si="0" ref="K15:K46">COMPLEX(0,2*PI()*J15)</f>
        <v>0.628318530717959i</v>
      </c>
      <c r="L15" s="144" t="str">
        <f aca="true" t="shared" si="1" ref="L15:L46">IMDIV(F2_Num,IMSUM(1,IMDIV(K15,F2_Dem)))</f>
        <v>63.1075539344999-3.60372028279542i</v>
      </c>
      <c r="M15" s="144" t="str">
        <f>IMPRODUCT(-1,IMPRODUCT(IMDIV(Fv_Co,K15),IMDIV(IMSUM(1,IMDIV(K15,Fv_fcz)),IMSUM(1,IMDIV(K15,Fv_fcp)))))</f>
        <v>-0.0393106368424258+2.44994583636895i</v>
      </c>
      <c r="N15" s="144" t="str">
        <f aca="true" t="shared" si="2" ref="N15:N46">IMPRODUCT(L15,M15)</f>
        <v>6.34812136754005+154.751753544576i</v>
      </c>
      <c r="O15" s="144">
        <f aca="true" t="shared" si="3" ref="O15:O46">20*LOG10(IMABS(N15))</f>
        <v>43.80001352031833</v>
      </c>
      <c r="P15" s="144">
        <f aca="true" t="shared" si="4" ref="P15:P46">(180/PI())*IMARGUMENT(N15)</f>
        <v>87.65096845217582</v>
      </c>
      <c r="Q15" s="144">
        <f>ABS(O15)</f>
        <v>43.80001352031833</v>
      </c>
      <c r="R15" s="144">
        <f aca="true" t="shared" si="5" ref="R15:R46">IF(Q15=Min_GL,J15,0)</f>
        <v>0</v>
      </c>
      <c r="S15" s="144">
        <f aca="true" t="shared" si="6" ref="S15:S46">IF(Q15=Min_GL,P15,0)</f>
        <v>0</v>
      </c>
    </row>
    <row r="16" spans="10:19" ht="12.75">
      <c r="J16" s="144">
        <f>10^(4/100)*J15</f>
        <v>0.10964781961431852</v>
      </c>
      <c r="K16" s="146" t="str">
        <f t="shared" si="0"/>
        <v>0.688937569164964i</v>
      </c>
      <c r="L16" s="144" t="str">
        <f t="shared" si="1"/>
        <v>63.066092816262-3.94880467891985i</v>
      </c>
      <c r="M16" s="144" t="str">
        <f>IMPRODUCT(-1,IMPRODUCT(IMDIV(Fv_Co,K16),IMDIV(IMSUM(1,IMDIV(K16,Fv_fcz)),IMSUM(1,IMDIV(K16,Fv_fcp)))))</f>
        <v>-0.0393106335670144+2.23438181283109i</v>
      </c>
      <c r="N16" s="144" t="str">
        <f t="shared" si="2"/>
        <v>6.34396929179743+141.068960808734i</v>
      </c>
      <c r="O16" s="144">
        <f t="shared" si="3"/>
        <v>42.99740348572363</v>
      </c>
      <c r="P16" s="144">
        <f t="shared" si="4"/>
        <v>87.42510379858982</v>
      </c>
      <c r="Q16" s="144">
        <f aca="true" t="shared" si="7" ref="Q16:Q79">ABS(O16)</f>
        <v>42.99740348572363</v>
      </c>
      <c r="R16" s="144">
        <f t="shared" si="5"/>
        <v>0</v>
      </c>
      <c r="S16" s="144">
        <f t="shared" si="6"/>
        <v>0</v>
      </c>
    </row>
    <row r="17" spans="10:19" ht="12.75">
      <c r="J17" s="144">
        <f aca="true" t="shared" si="8" ref="J17:J64">10^(4/100)*J16</f>
        <v>0.12022644346174131</v>
      </c>
      <c r="K17" s="146" t="str">
        <f t="shared" si="0"/>
        <v>0.75540502309327i</v>
      </c>
      <c r="L17" s="144" t="str">
        <f t="shared" si="1"/>
        <v>63.0163176538574-4.32636093672384i</v>
      </c>
      <c r="M17" s="144" t="str">
        <f>IMPRODUCT(-1,IMPRODUCT(IMDIV(Fv_Co,K17),IMDIV(IMSUM(1,IMDIV(K17,Fv_fcz)),IMSUM(1,IMDIV(K17,Fv_fcp)))))</f>
        <v>-0.0393106296291044+2.03778553581996i</v>
      </c>
      <c r="N17" s="144" t="str">
        <f t="shared" si="2"/>
        <v>6.33898461571155+128.583812608092i</v>
      </c>
      <c r="O17" s="144">
        <f t="shared" si="3"/>
        <v>42.19426799717513</v>
      </c>
      <c r="P17" s="144">
        <f t="shared" si="4"/>
        <v>87.17769091460269</v>
      </c>
      <c r="Q17" s="144">
        <f t="shared" si="7"/>
        <v>42.19426799717513</v>
      </c>
      <c r="R17" s="144">
        <f t="shared" si="5"/>
        <v>0</v>
      </c>
      <c r="S17" s="144">
        <f t="shared" si="6"/>
        <v>0</v>
      </c>
    </row>
    <row r="18" spans="10:19" ht="12.75">
      <c r="J18" s="144">
        <f t="shared" si="8"/>
        <v>0.13182567385564076</v>
      </c>
      <c r="K18" s="146" t="str">
        <f t="shared" si="0"/>
        <v>0.82828513707881i</v>
      </c>
      <c r="L18" s="144" t="str">
        <f t="shared" si="1"/>
        <v>62.9565786634684-4.73926338690944i</v>
      </c>
      <c r="M18" s="144" t="str">
        <f>IMPRODUCT(-1,IMPRODUCT(IMDIV(Fv_Co,K18),IMDIV(IMSUM(1,IMDIV(K18,Fv_fcz)),IMSUM(1,IMDIV(K18,Fv_fcp)))))</f>
        <v>-0.039310624894696+1.85848809256067i</v>
      </c>
      <c r="N18" s="144" t="str">
        <f t="shared" si="2"/>
        <v>6.33300212358692+117.190355199695i</v>
      </c>
      <c r="O18" s="144">
        <f t="shared" si="3"/>
        <v>41.390501865521436</v>
      </c>
      <c r="P18" s="144">
        <f t="shared" si="4"/>
        <v>86.90672761146867</v>
      </c>
      <c r="Q18" s="144">
        <f t="shared" si="7"/>
        <v>41.390501865521436</v>
      </c>
      <c r="R18" s="144">
        <f t="shared" si="5"/>
        <v>0</v>
      </c>
      <c r="S18" s="144">
        <f t="shared" si="6"/>
        <v>0</v>
      </c>
    </row>
    <row r="19" spans="10:19" ht="12.75">
      <c r="J19" s="144">
        <f t="shared" si="8"/>
        <v>0.14454397707459282</v>
      </c>
      <c r="K19" s="146" t="str">
        <f t="shared" si="0"/>
        <v>0.908196592996385i</v>
      </c>
      <c r="L19" s="144" t="str">
        <f t="shared" si="1"/>
        <v>62.8849063743336-5.19058306709698i</v>
      </c>
      <c r="M19" s="144" t="str">
        <f>IMPRODUCT(-1,IMPRODUCT(IMDIV(Fv_Co,K19),IMDIV(IMSUM(1,IMDIV(K19,Fv_fcz)),IMSUM(1,IMDIV(K19,Fv_fcp)))))</f>
        <v>-0.0393106192026871+1.69496742069218i</v>
      </c>
      <c r="N19" s="144" t="str">
        <f t="shared" si="2"/>
        <v>6.32582458504781+106.791912592164i</v>
      </c>
      <c r="O19" s="144">
        <f t="shared" si="3"/>
        <v>40.585979107589836</v>
      </c>
      <c r="P19" s="144">
        <f t="shared" si="4"/>
        <v>86.61004265459687</v>
      </c>
      <c r="Q19" s="144">
        <f t="shared" si="7"/>
        <v>40.585979107589836</v>
      </c>
      <c r="R19" s="144">
        <f t="shared" si="5"/>
        <v>0</v>
      </c>
      <c r="S19" s="144">
        <f t="shared" si="6"/>
        <v>0</v>
      </c>
    </row>
    <row r="20" spans="10:19" ht="12.75">
      <c r="J20" s="144">
        <f t="shared" si="8"/>
        <v>0.15848931924611143</v>
      </c>
      <c r="K20" s="146" t="str">
        <f t="shared" si="0"/>
        <v>0.995817762032062i</v>
      </c>
      <c r="L20" s="144" t="str">
        <f t="shared" si="1"/>
        <v>62.7989530732433-5.68358200580015i</v>
      </c>
      <c r="M20" s="144" t="str">
        <f>IMPRODUCT(-1,IMPRODUCT(IMDIV(Fv_Co,K20),IMDIV(IMSUM(1,IMDIV(K20,Fv_fcz)),IMSUM(1,IMDIV(K20,Fv_fcp)))))</f>
        <v>-0.0393106123593895+1.5458353874256i</v>
      </c>
      <c r="N20" s="144" t="str">
        <f t="shared" si="2"/>
        <v>6.31721689106348+97.3002690429419i</v>
      </c>
      <c r="O20" s="144">
        <f t="shared" si="3"/>
        <v>39.78054895193142</v>
      </c>
      <c r="P20" s="144">
        <f t="shared" si="4"/>
        <v>86.28528695589304</v>
      </c>
      <c r="Q20" s="144">
        <f t="shared" si="7"/>
        <v>39.78054895193142</v>
      </c>
      <c r="R20" s="144">
        <f t="shared" si="5"/>
        <v>0</v>
      </c>
      <c r="S20" s="144">
        <f t="shared" si="6"/>
        <v>0</v>
      </c>
    </row>
    <row r="21" spans="10:19" ht="12.75">
      <c r="J21" s="144">
        <f t="shared" si="8"/>
        <v>0.17378008287493765</v>
      </c>
      <c r="K21" s="146" t="str">
        <f t="shared" si="0"/>
        <v>1.09189246340026i</v>
      </c>
      <c r="L21" s="144" t="str">
        <f t="shared" si="1"/>
        <v>62.6959250288395-6.22169964311845i</v>
      </c>
      <c r="M21" s="144" t="str">
        <f>IMPRODUCT(-1,IMPRODUCT(IMDIV(Fv_Co,K21),IMDIV(IMSUM(1,IMDIV(K21,Fv_fcz)),IMSUM(1,IMDIV(K21,Fv_fcp)))))</f>
        <v>-0.0393106041319388+1.40982600563581i</v>
      </c>
      <c r="N21" s="144" t="str">
        <f t="shared" si="2"/>
        <v>6.30689926662901+88.6349243247494i</v>
      </c>
      <c r="O21" s="144">
        <f t="shared" si="3"/>
        <v>38.97403112871376</v>
      </c>
      <c r="P21" s="144">
        <f t="shared" si="4"/>
        <v>85.92992620300126</v>
      </c>
      <c r="Q21" s="144">
        <f t="shared" si="7"/>
        <v>38.97403112871376</v>
      </c>
      <c r="R21" s="144">
        <f t="shared" si="5"/>
        <v>0</v>
      </c>
      <c r="S21" s="144">
        <f t="shared" si="6"/>
        <v>0</v>
      </c>
    </row>
    <row r="22" spans="10:19" ht="12.75">
      <c r="J22" s="144">
        <f t="shared" si="8"/>
        <v>0.19054607179632485</v>
      </c>
      <c r="K22" s="146" t="str">
        <f t="shared" si="0"/>
        <v>1.19723627865145i</v>
      </c>
      <c r="L22" s="144" t="str">
        <f t="shared" si="1"/>
        <v>62.5725047302846-6.80852861059972i</v>
      </c>
      <c r="M22" s="144" t="str">
        <f>IMPRODUCT(-1,IMPRODUCT(IMDIV(Fv_Co,K22),IMDIV(IMSUM(1,IMDIV(K22,Fv_fcz)),IMSUM(1,IMDIV(K22,Fv_fcp)))))</f>
        <v>-0.0393105942403726+1.28578468685167i</v>
      </c>
      <c r="N22" s="144" t="str">
        <f t="shared" si="2"/>
        <v>6.29453948344458+80.7224157057389i</v>
      </c>
      <c r="O22" s="144">
        <f t="shared" si="3"/>
        <v>38.16621033835096</v>
      </c>
      <c r="P22" s="144">
        <f t="shared" si="4"/>
        <v>85.54123573443808</v>
      </c>
      <c r="Q22" s="144">
        <f t="shared" si="7"/>
        <v>38.16621033835096</v>
      </c>
      <c r="R22" s="144">
        <f t="shared" si="5"/>
        <v>0</v>
      </c>
      <c r="S22" s="144">
        <f t="shared" si="6"/>
        <v>0</v>
      </c>
    </row>
    <row r="23" spans="10:19" ht="12.75">
      <c r="J23" s="144">
        <f t="shared" si="8"/>
        <v>0.20892961308540411</v>
      </c>
      <c r="K23" s="146" t="str">
        <f t="shared" si="0"/>
        <v>1.31274347517293i</v>
      </c>
      <c r="L23" s="144" t="str">
        <f t="shared" si="1"/>
        <v>62.4247626608091-7.4477763519626i</v>
      </c>
      <c r="M23" s="144" t="str">
        <f>IMPRODUCT(-1,IMPRODUCT(IMDIV(Fv_Co,K23),IMDIV(IMSUM(1,IMDIV(K23,Fv_fcz)),IMSUM(1,IMDIV(K23,Fv_fcp)))))</f>
        <v>-0.0393105823481006+1.17265843991349i</v>
      </c>
      <c r="N23" s="144" t="str">
        <f t="shared" si="2"/>
        <v>6.27974402457867+73.4957012193883i</v>
      </c>
      <c r="O23" s="144">
        <f t="shared" si="3"/>
        <v>37.35682978853583</v>
      </c>
      <c r="P23" s="144">
        <f t="shared" si="4"/>
        <v>85.11629872883302</v>
      </c>
      <c r="Q23" s="144">
        <f t="shared" si="7"/>
        <v>37.35682978853583</v>
      </c>
      <c r="R23" s="144">
        <f t="shared" si="5"/>
        <v>0</v>
      </c>
      <c r="S23" s="144">
        <f t="shared" si="6"/>
        <v>0</v>
      </c>
    </row>
    <row r="24" spans="10:19" ht="12.75">
      <c r="J24" s="144">
        <f t="shared" si="8"/>
        <v>0.22908676527677752</v>
      </c>
      <c r="K24" s="146" t="str">
        <f t="shared" si="0"/>
        <v>1.43939459765635i</v>
      </c>
      <c r="L24" s="144" t="str">
        <f t="shared" si="1"/>
        <v>62.2480586327376-8.143208193874i</v>
      </c>
      <c r="M24" s="144" t="str">
        <f>IMPRODUCT(-1,IMPRODUCT(IMDIV(Fv_Co,K24),IMDIV(IMSUM(1,IMDIV(K24,Fv_fcz)),IMSUM(1,IMDIV(K24,Fv_fcp)))))</f>
        <v>-0.0393105680504546+1.06948693209359i</v>
      </c>
      <c r="N24" s="144" t="str">
        <f t="shared" si="2"/>
        <v>6.26204820377477+66.8935993957627i</v>
      </c>
      <c r="O24" s="144">
        <f t="shared" si="3"/>
        <v>36.54558368989266</v>
      </c>
      <c r="P24" s="144">
        <f t="shared" si="4"/>
        <v>84.65200910077849</v>
      </c>
      <c r="Q24" s="144">
        <f t="shared" si="7"/>
        <v>36.54558368989266</v>
      </c>
      <c r="R24" s="144">
        <f t="shared" si="5"/>
        <v>0</v>
      </c>
      <c r="S24" s="144">
        <f t="shared" si="6"/>
        <v>0</v>
      </c>
    </row>
    <row r="25" spans="10:19" ht="12.75">
      <c r="J25" s="144">
        <f t="shared" si="8"/>
        <v>0.25118864315095824</v>
      </c>
      <c r="K25" s="146" t="str">
        <f t="shared" si="0"/>
        <v>1.57826479197648i</v>
      </c>
      <c r="L25" s="144" t="str">
        <f t="shared" si="1"/>
        <v>62.0369335307419-8.89856648492977i</v>
      </c>
      <c r="M25" s="144" t="str">
        <f>IMPRODUCT(-1,IMPRODUCT(IMDIV(Fv_Co,K25),IMDIV(IMSUM(1,IMDIV(K25,Fv_fcz)),IMSUM(1,IMDIV(K25,Fv_fcp)))))</f>
        <v>-0.0393105508609169+0.975394336797491i</v>
      </c>
      <c r="N25" s="144" t="str">
        <f t="shared" si="2"/>
        <v>6.2409053242009+60.8602811885631i</v>
      </c>
      <c r="O25" s="144">
        <f t="shared" si="3"/>
        <v>35.73210860995072</v>
      </c>
      <c r="P25" s="144">
        <f t="shared" si="4"/>
        <v>84.14508089490883</v>
      </c>
      <c r="Q25" s="144">
        <f t="shared" si="7"/>
        <v>35.73210860995072</v>
      </c>
      <c r="R25" s="144">
        <f t="shared" si="5"/>
        <v>0</v>
      </c>
      <c r="S25" s="144">
        <f t="shared" si="6"/>
        <v>0</v>
      </c>
    </row>
    <row r="26" spans="10:19" ht="12.75">
      <c r="J26" s="144">
        <f t="shared" si="8"/>
        <v>0.2754228703338169</v>
      </c>
      <c r="K26" s="146" t="str">
        <f t="shared" si="0"/>
        <v>1.73053293214267i</v>
      </c>
      <c r="L26" s="144" t="str">
        <f t="shared" si="1"/>
        <v>61.7849935645245-9.71745935406398i</v>
      </c>
      <c r="M26" s="144" t="str">
        <f>IMPRODUCT(-1,IMPRODUCT(IMDIV(Fv_Co,K26),IMDIV(IMSUM(1,IMDIV(K26,Fv_fcz)),IMSUM(1,IMDIV(K26,Fv_fcp)))))</f>
        <v>-0.0393105301945671+0.889581898640838i</v>
      </c>
      <c r="N26" s="144" t="str">
        <f t="shared" si="2"/>
        <v>6.21567508706403+55.3448103619941i</v>
      </c>
      <c r="O26" s="144">
        <f t="shared" si="3"/>
        <v>34.915973608341716</v>
      </c>
      <c r="P26" s="144">
        <f t="shared" si="4"/>
        <v>83.59206645108078</v>
      </c>
      <c r="Q26" s="144">
        <f t="shared" si="7"/>
        <v>34.915973608341716</v>
      </c>
      <c r="R26" s="144">
        <f t="shared" si="5"/>
        <v>0</v>
      </c>
      <c r="S26" s="144">
        <f t="shared" si="6"/>
        <v>0</v>
      </c>
    </row>
    <row r="27" spans="10:19" ht="12.75">
      <c r="J27" s="144">
        <f t="shared" si="8"/>
        <v>0.30199517204020193</v>
      </c>
      <c r="K27" s="146" t="str">
        <f t="shared" si="0"/>
        <v>1.89749162780217i</v>
      </c>
      <c r="L27" s="144" t="str">
        <f t="shared" si="1"/>
        <v>61.4847909674331-10.6032115875639i</v>
      </c>
      <c r="M27" s="144" t="str">
        <f>IMPRODUCT(-1,IMPRODUCT(IMDIV(Fv_Co,K27),IMDIV(IMSUM(1,IMDIV(K27,Fv_fcz)),IMSUM(1,IMDIV(K27,Fv_fcp)))))</f>
        <v>-0.0393105053481785+0.81132115278625i</v>
      </c>
      <c r="N27" s="144" t="str">
        <f t="shared" si="2"/>
        <v>6.18561164430195+50.3007290923402i</v>
      </c>
      <c r="O27" s="144">
        <f t="shared" si="3"/>
        <v>34.09666911951936</v>
      </c>
      <c r="P27" s="144">
        <f t="shared" si="4"/>
        <v>82.98938617846616</v>
      </c>
      <c r="Q27" s="144">
        <f t="shared" si="7"/>
        <v>34.09666911951936</v>
      </c>
      <c r="R27" s="144">
        <f t="shared" si="5"/>
        <v>0</v>
      </c>
      <c r="S27" s="144">
        <f t="shared" si="6"/>
        <v>0</v>
      </c>
    </row>
    <row r="28" spans="10:19" ht="12.75">
      <c r="J28" s="144">
        <f t="shared" si="8"/>
        <v>0.33113112148259144</v>
      </c>
      <c r="K28" s="146" t="str">
        <f t="shared" si="0"/>
        <v>2.08055819724932i</v>
      </c>
      <c r="L28" s="144" t="str">
        <f t="shared" si="1"/>
        <v>61.1277076597844-11.5586692510673i</v>
      </c>
      <c r="M28" s="144" t="str">
        <f>IMPRODUCT(-1,IMPRODUCT(IMDIV(Fv_Co,K28),IMDIV(IMSUM(1,IMDIV(K28,Fv_fcz)),IMSUM(1,IMDIV(K28,Fv_fcp)))))</f>
        <v>-0.0393104754762908+0.739947740979269i</v>
      </c>
      <c r="N28" s="144" t="str">
        <f t="shared" si="2"/>
        <v>6.14985194817196+45.6856859782313i</v>
      </c>
      <c r="O28" s="144">
        <f t="shared" si="3"/>
        <v>33.27359462137802</v>
      </c>
      <c r="P28" s="144">
        <f t="shared" si="4"/>
        <v>82.33337341570515</v>
      </c>
      <c r="Q28" s="144">
        <f t="shared" si="7"/>
        <v>33.27359462137802</v>
      </c>
      <c r="R28" s="144">
        <f t="shared" si="5"/>
        <v>0</v>
      </c>
      <c r="S28" s="144">
        <f t="shared" si="6"/>
        <v>0</v>
      </c>
    </row>
    <row r="29" spans="10:19" ht="12.75">
      <c r="J29" s="144">
        <f t="shared" si="8"/>
        <v>0.36307805477010174</v>
      </c>
      <c r="K29" s="146" t="str">
        <f t="shared" si="0"/>
        <v>2.28128669909085i</v>
      </c>
      <c r="L29" s="144" t="str">
        <f t="shared" si="1"/>
        <v>60.7038518916894-12.5859492601706i</v>
      </c>
      <c r="M29" s="144" t="str">
        <f>IMPRODUCT(-1,IMPRODUCT(IMDIV(Fv_Co,K29),IMDIV(IMSUM(1,IMDIV(K29,Fv_fcz)),IMSUM(1,IMDIV(K29,Fv_fcp)))))</f>
        <v>-0.0393104395624427+0.674855771787145i</v>
      </c>
      <c r="N29" s="144" t="str">
        <f t="shared" si="2"/>
        <v>6.10740540065055+41.4611040165465i</v>
      </c>
      <c r="O29" s="144">
        <f t="shared" si="3"/>
        <v>32.4460452394635</v>
      </c>
      <c r="P29" s="144">
        <f t="shared" si="4"/>
        <v>81.62033854031554</v>
      </c>
      <c r="Q29" s="144">
        <f t="shared" si="7"/>
        <v>32.4460452394635</v>
      </c>
      <c r="R29" s="144">
        <f t="shared" si="5"/>
        <v>0</v>
      </c>
      <c r="S29" s="144">
        <f t="shared" si="6"/>
        <v>0</v>
      </c>
    </row>
    <row r="30" spans="10:19" ht="12.75">
      <c r="J30" s="144">
        <f t="shared" si="8"/>
        <v>0.3981071705534977</v>
      </c>
      <c r="K30" s="146" t="str">
        <f t="shared" si="0"/>
        <v>2.50138112470457i</v>
      </c>
      <c r="L30" s="144" t="str">
        <f t="shared" si="1"/>
        <v>60.2019824178511-13.6861255454353i</v>
      </c>
      <c r="M30" s="144" t="str">
        <f>IMPRODUCT(-1,IMPRODUCT(IMDIV(Fv_Co,K30),IMDIV(IMSUM(1,IMDIV(K30,Fv_fcz)),IMSUM(1,IMDIV(K30,Fv_fcp)))))</f>
        <v>-0.0393103963845872+0.61549267716449i</v>
      </c>
      <c r="N30" s="144" t="str">
        <f t="shared" si="2"/>
        <v>6.05714625998561+37.591886349133i</v>
      </c>
      <c r="O30" s="144">
        <f t="shared" si="3"/>
        <v>31.61319759951929</v>
      </c>
      <c r="P30" s="144">
        <f t="shared" si="4"/>
        <v>80.84665716663076</v>
      </c>
      <c r="Q30" s="144">
        <f t="shared" si="7"/>
        <v>31.61319759951929</v>
      </c>
      <c r="R30" s="144">
        <f t="shared" si="5"/>
        <v>0</v>
      </c>
      <c r="S30" s="144">
        <f t="shared" si="6"/>
        <v>0</v>
      </c>
    </row>
    <row r="31" spans="10:19" ht="12.75">
      <c r="J31" s="144">
        <f t="shared" si="8"/>
        <v>0.4365158322401665</v>
      </c>
      <c r="K31" s="146" t="str">
        <f t="shared" si="0"/>
        <v>2.74270986348268i</v>
      </c>
      <c r="L31" s="144" t="str">
        <f t="shared" si="1"/>
        <v>59.6094803548152-14.8588453584994i</v>
      </c>
      <c r="M31" s="144" t="str">
        <f>IMPRODUCT(-1,IMPRODUCT(IMDIV(Fv_Co,K31),IMDIV(IMSUM(1,IMDIV(K31,Fv_fcz)),IMSUM(1,IMDIV(K31,Fv_fcp)))))</f>
        <v>-0.0393103444735128+0.561354521682896i</v>
      </c>
      <c r="N31" s="144" t="str">
        <f t="shared" si="2"/>
        <v>5.99781082234567+34.0461576618645i</v>
      </c>
      <c r="O31" s="144">
        <f t="shared" si="3"/>
        <v>30.77409546930514</v>
      </c>
      <c r="P31" s="144">
        <f t="shared" si="4"/>
        <v>80.00888783835492</v>
      </c>
      <c r="Q31" s="144">
        <f t="shared" si="7"/>
        <v>30.77409546930514</v>
      </c>
      <c r="R31" s="144">
        <f t="shared" si="5"/>
        <v>0</v>
      </c>
      <c r="S31" s="144">
        <f t="shared" si="6"/>
        <v>0</v>
      </c>
    </row>
    <row r="32" spans="10:19" ht="12.75">
      <c r="J32" s="144">
        <f t="shared" si="8"/>
        <v>0.478630092322639</v>
      </c>
      <c r="K32" s="146" t="str">
        <f t="shared" si="0"/>
        <v>3.00732156365561i</v>
      </c>
      <c r="L32" s="144" t="str">
        <f t="shared" si="1"/>
        <v>58.9123953262381-16.1018734146973i</v>
      </c>
      <c r="M32" s="144" t="str">
        <f>IMPRODUCT(-1,IMPRODUCT(IMDIV(Fv_Co,K32),IMDIV(IMSUM(1,IMDIV(K32,Fv_fcz)),IMSUM(1,IMDIV(K32,Fv_fcp)))))</f>
        <v>-0.0393102820628557+0.511981724604366i</v>
      </c>
      <c r="N32" s="144" t="str">
        <f t="shared" si="2"/>
        <v>5.92800204294504+30.7950389453737i</v>
      </c>
      <c r="O32" s="144">
        <f t="shared" si="3"/>
        <v>29.927636036287517</v>
      </c>
      <c r="P32" s="144">
        <f t="shared" si="4"/>
        <v>79.10392492146377</v>
      </c>
      <c r="Q32" s="144">
        <f t="shared" si="7"/>
        <v>29.927636036287517</v>
      </c>
      <c r="R32" s="144">
        <f t="shared" si="5"/>
        <v>0</v>
      </c>
      <c r="S32" s="144">
        <f t="shared" si="6"/>
        <v>0</v>
      </c>
    </row>
    <row r="33" spans="10:19" ht="12.75">
      <c r="J33" s="144">
        <f t="shared" si="8"/>
        <v>0.5248074602497733</v>
      </c>
      <c r="K33" s="146" t="str">
        <f t="shared" si="0"/>
        <v>3.29746252333961i</v>
      </c>
      <c r="L33" s="144" t="str">
        <f t="shared" si="1"/>
        <v>58.0955992268283-17.4105689162892i</v>
      </c>
      <c r="M33" s="144" t="str">
        <f>IMPRODUCT(-1,IMPRODUCT(IMDIV(Fv_Co,K33),IMDIV(IMSUM(1,IMDIV(K33,Fv_fcz)),IMSUM(1,IMDIV(K33,Fv_fcp)))))</f>
        <v>-0.0393102070290049+0.466955158483002i</v>
      </c>
      <c r="N33" s="144" t="str">
        <f t="shared" si="2"/>
        <v>5.84620493450433+27.8124528127207i</v>
      </c>
      <c r="O33" s="144">
        <f t="shared" si="3"/>
        <v>29.072558058286738</v>
      </c>
      <c r="P33" s="144">
        <f t="shared" si="4"/>
        <v>78.12919220353535</v>
      </c>
      <c r="Q33" s="144">
        <f t="shared" si="7"/>
        <v>29.072558058286738</v>
      </c>
      <c r="R33" s="144">
        <f t="shared" si="5"/>
        <v>0</v>
      </c>
      <c r="S33" s="144">
        <f t="shared" si="6"/>
        <v>0</v>
      </c>
    </row>
    <row r="34" spans="10:19" ht="12.75">
      <c r="J34" s="144">
        <f t="shared" si="8"/>
        <v>0.5754399373371578</v>
      </c>
      <c r="K34" s="146" t="str">
        <f t="shared" si="0"/>
        <v>3.61559575944117i</v>
      </c>
      <c r="L34" s="144" t="str">
        <f t="shared" si="1"/>
        <v>57.1430867560281-18.7773120388644i</v>
      </c>
      <c r="M34" s="144" t="str">
        <f>IMPRODUCT(-1,IMPRODUCT(IMDIV(Fv_Co,K34),IMDIV(IMSUM(1,IMDIV(K34,Fv_fcz)),IMSUM(1,IMDIV(K34,Fv_fcp)))))</f>
        <v>-0.0393101168188537+0.425892591175817i</v>
      </c>
      <c r="N34" s="144" t="str">
        <f t="shared" si="2"/>
        <v>5.75081666377947+25.0749556161011i</v>
      </c>
      <c r="O34" s="144">
        <f t="shared" si="3"/>
        <v>28.20743359570933</v>
      </c>
      <c r="P34" s="144">
        <f t="shared" si="4"/>
        <v>77.08288169106152</v>
      </c>
      <c r="Q34" s="144">
        <f t="shared" si="7"/>
        <v>28.20743359570933</v>
      </c>
      <c r="R34" s="144">
        <f t="shared" si="5"/>
        <v>0</v>
      </c>
      <c r="S34" s="144">
        <f t="shared" si="6"/>
        <v>0</v>
      </c>
    </row>
    <row r="35" spans="10:19" ht="12.75">
      <c r="J35" s="144">
        <f t="shared" si="8"/>
        <v>0.6309573444801942</v>
      </c>
      <c r="K35" s="146" t="str">
        <f t="shared" si="0"/>
        <v>3.96442191629501i</v>
      </c>
      <c r="L35" s="144" t="str">
        <f t="shared" si="1"/>
        <v>56.0384648183329-20.1909129405195i</v>
      </c>
      <c r="M35" s="144" t="str">
        <f>IMPRODUCT(-1,IMPRODUCT(IMDIV(Fv_Co,K35),IMDIV(IMSUM(1,IMDIV(K35,Fv_fcz)),IMSUM(1,IMDIV(K35,Fv_fcp)))))</f>
        <v>-0.0393100083629453+0.38844544105857i</v>
      </c>
      <c r="N35" s="144" t="str">
        <f t="shared" si="2"/>
        <v>5.6401955619+22.5615911391498i</v>
      </c>
      <c r="O35" s="144">
        <f t="shared" si="3"/>
        <v>27.330665562804136</v>
      </c>
      <c r="P35" s="144">
        <f t="shared" si="4"/>
        <v>75.96423987480506</v>
      </c>
      <c r="Q35" s="144">
        <f t="shared" si="7"/>
        <v>27.330665562804136</v>
      </c>
      <c r="R35" s="144">
        <f t="shared" si="5"/>
        <v>0</v>
      </c>
      <c r="S35" s="144">
        <f t="shared" si="6"/>
        <v>0</v>
      </c>
    </row>
    <row r="36" spans="10:19" ht="12.75">
      <c r="J36" s="144">
        <f t="shared" si="8"/>
        <v>0.6918309709189376</v>
      </c>
      <c r="K36" s="146" t="str">
        <f t="shared" si="0"/>
        <v>4.34690219152966i</v>
      </c>
      <c r="L36" s="144" t="str">
        <f t="shared" si="1"/>
        <v>54.7656700738928-21.6360577879236i</v>
      </c>
      <c r="M36" s="144" t="str">
        <f>IMPRODUCT(-1,IMPRODUCT(IMDIV(Fv_Co,K36),IMDIV(IMSUM(1,IMDIV(K36,Fv_fcz)),IMSUM(1,IMDIV(K36,Fv_fcp)))))</f>
        <v>-0.0393098779710565+0.354295817901508i</v>
      </c>
      <c r="N36" s="144" t="str">
        <f t="shared" si="2"/>
        <v>5.51273298252882+20.253758663172i</v>
      </c>
      <c r="O36" s="144">
        <f t="shared" si="3"/>
        <v>26.44049386655812</v>
      </c>
      <c r="P36" s="144">
        <f t="shared" si="4"/>
        <v>74.77389987532486</v>
      </c>
      <c r="Q36" s="144">
        <f t="shared" si="7"/>
        <v>26.44049386655812</v>
      </c>
      <c r="R36" s="144">
        <f t="shared" si="5"/>
        <v>0</v>
      </c>
      <c r="S36" s="144">
        <f t="shared" si="6"/>
        <v>0</v>
      </c>
    </row>
    <row r="37" spans="10:19" ht="12.75">
      <c r="J37" s="144">
        <f t="shared" si="8"/>
        <v>0.7585775750291851</v>
      </c>
      <c r="K37" s="146" t="str">
        <f t="shared" si="0"/>
        <v>4.7662834737793i</v>
      </c>
      <c r="L37" s="144" t="str">
        <f t="shared" si="1"/>
        <v>53.3099416845691-23.0928712600902i</v>
      </c>
      <c r="M37" s="144" t="str">
        <f>IMPRODUCT(-1,IMPRODUCT(IMDIV(Fv_Co,K37),IMDIV(IMSUM(1,IMDIV(K37,Fv_fcz)),IMSUM(1,IMDIV(K37,Fv_fcp)))))</f>
        <v>-0.0393097212066708+0.323153824284589i</v>
      </c>
      <c r="N37" s="144" t="str">
        <f t="shared" si="2"/>
        <v>5.36695071624553+18.1350858588526i</v>
      </c>
      <c r="O37" s="144">
        <f t="shared" si="3"/>
        <v>25.535013338052988</v>
      </c>
      <c r="P37" s="144">
        <f t="shared" si="4"/>
        <v>73.51425200891597</v>
      </c>
      <c r="Q37" s="144">
        <f t="shared" si="7"/>
        <v>25.535013338052988</v>
      </c>
      <c r="R37" s="144">
        <f t="shared" si="5"/>
        <v>0</v>
      </c>
      <c r="S37" s="144">
        <f t="shared" si="6"/>
        <v>0</v>
      </c>
    </row>
    <row r="38" spans="10:19" ht="12.75">
      <c r="J38" s="144">
        <f t="shared" si="8"/>
        <v>0.8317637711026725</v>
      </c>
      <c r="K38" s="146" t="str">
        <f t="shared" si="0"/>
        <v>5.2261259056366i</v>
      </c>
      <c r="L38" s="144" t="str">
        <f t="shared" si="1"/>
        <v>51.6590508061634-24.5366997777222i</v>
      </c>
      <c r="M38" s="144" t="str">
        <f>IMPRODUCT(-1,IMPRODUCT(IMDIV(Fv_Co,K38),IMDIV(IMSUM(1,IMDIV(K38,Fv_fcz)),IMSUM(1,IMDIV(K38,Fv_fcp)))))</f>
        <v>-0.0393095327360807+0.294755094643632i</v>
      </c>
      <c r="N38" s="144" t="str">
        <f t="shared" si="2"/>
        <v>5.20162411644515+16.1912946127186i</v>
      </c>
      <c r="O38" s="144">
        <f t="shared" si="3"/>
        <v>24.612206855734463</v>
      </c>
      <c r="P38" s="144">
        <f t="shared" si="4"/>
        <v>72.1898372591004</v>
      </c>
      <c r="Q38" s="144">
        <f t="shared" si="7"/>
        <v>24.612206855734463</v>
      </c>
      <c r="R38" s="144">
        <f t="shared" si="5"/>
        <v>0</v>
      </c>
      <c r="S38" s="144">
        <f t="shared" si="6"/>
        <v>0</v>
      </c>
    </row>
    <row r="39" spans="10:19" ht="12.75">
      <c r="J39" s="144">
        <f t="shared" si="8"/>
        <v>0.9120108393559114</v>
      </c>
      <c r="K39" s="146" t="str">
        <f t="shared" si="0"/>
        <v>5.73033310582958i</v>
      </c>
      <c r="L39" s="144" t="str">
        <f t="shared" si="1"/>
        <v>49.8047469627815-25.9382376463697i</v>
      </c>
      <c r="M39" s="144" t="str">
        <f>IMPRODUCT(-1,IMPRODUCT(IMDIV(Fv_Co,K39),IMDIV(IMSUM(1,IMDIV(K39,Fv_fcz)),IMSUM(1,IMDIV(K39,Fv_fcp)))))</f>
        <v>-0.0393093061469862+0.268858551055915i</v>
      </c>
      <c r="N39" s="144" t="str">
        <f t="shared" si="2"/>
        <v>5.01592694461378+14.4100462286743i</v>
      </c>
      <c r="O39" s="144">
        <f t="shared" si="3"/>
        <v>23.6699968223812</v>
      </c>
      <c r="P39" s="144">
        <f t="shared" si="4"/>
        <v>70.80773816213892</v>
      </c>
      <c r="Q39" s="144">
        <f t="shared" si="7"/>
        <v>23.6699968223812</v>
      </c>
      <c r="R39" s="144">
        <f t="shared" si="5"/>
        <v>0</v>
      </c>
      <c r="S39" s="144">
        <f t="shared" si="6"/>
        <v>0</v>
      </c>
    </row>
    <row r="40" spans="10:19" ht="12.75">
      <c r="J40" s="144">
        <f t="shared" si="8"/>
        <v>1.000000000000002</v>
      </c>
      <c r="K40" s="146" t="str">
        <f t="shared" si="0"/>
        <v>6.2831853071796i</v>
      </c>
      <c r="L40" s="144" t="str">
        <f t="shared" si="1"/>
        <v>47.7443247108147-27.2641198432938i</v>
      </c>
      <c r="M40" s="144" t="str">
        <f>IMPRODUCT(-1,IMPRODUCT(IMDIV(Fv_Co,K40),IMDIV(IMSUM(1,IMDIV(K40,Fv_fcz)),IMSUM(1,IMDIV(K40,Fv_fcp)))))</f>
        <v>-0.0393090337304342+0.245244356713546i</v>
      </c>
      <c r="N40" s="144" t="str">
        <f t="shared" si="2"/>
        <v>4.80958826183539+12.780752406977i</v>
      </c>
      <c r="O40" s="144">
        <f t="shared" si="3"/>
        <v>22.70631727977061</v>
      </c>
      <c r="P40" s="144">
        <f t="shared" si="4"/>
        <v>69.37793066321022</v>
      </c>
      <c r="Q40" s="144">
        <f t="shared" si="7"/>
        <v>22.70631727977061</v>
      </c>
      <c r="R40" s="144">
        <f t="shared" si="5"/>
        <v>0</v>
      </c>
      <c r="S40" s="144">
        <f t="shared" si="6"/>
        <v>0</v>
      </c>
    </row>
    <row r="41" spans="10:19" ht="12.75">
      <c r="J41" s="144">
        <f t="shared" si="8"/>
        <v>1.0964781961431873</v>
      </c>
      <c r="K41" s="146" t="str">
        <f t="shared" si="0"/>
        <v>6.88937569164965i</v>
      </c>
      <c r="L41" s="144" t="str">
        <f t="shared" si="1"/>
        <v>45.482148329547-28.4780794418789i</v>
      </c>
      <c r="M41" s="144" t="str">
        <f>IMPRODUCT(-1,IMPRODUCT(IMDIV(Fv_Co,K41),IMDIV(IMSUM(1,IMDIV(K41,Fv_fcz)),IMSUM(1,IMDIV(K41,Fv_fcp)))))</f>
        <v>-0.0393087062187008+0.223712049711009i</v>
      </c>
      <c r="N41" s="144" t="str">
        <f t="shared" si="2"/>
        <v>4.58304511689414+11.2943410865167i</v>
      </c>
      <c r="O41" s="144">
        <f t="shared" si="3"/>
        <v>21.719207258938233</v>
      </c>
      <c r="P41" s="144">
        <f t="shared" si="4"/>
        <v>67.91355039671376</v>
      </c>
      <c r="Q41" s="144">
        <f t="shared" si="7"/>
        <v>21.719207258938233</v>
      </c>
      <c r="R41" s="144">
        <f t="shared" si="5"/>
        <v>0</v>
      </c>
      <c r="S41" s="144">
        <f t="shared" si="6"/>
        <v>0</v>
      </c>
    </row>
    <row r="42" spans="10:19" ht="12.75">
      <c r="J42" s="144">
        <f t="shared" si="8"/>
        <v>1.2022644346174156</v>
      </c>
      <c r="K42" s="146" t="str">
        <f t="shared" si="0"/>
        <v>7.55405023093272i</v>
      </c>
      <c r="L42" s="144" t="str">
        <f t="shared" si="1"/>
        <v>43.0309116015328-29.5427060729076i</v>
      </c>
      <c r="M42" s="144" t="str">
        <f>IMPRODUCT(-1,IMPRODUCT(IMDIV(Fv_Co,K42),IMDIV(IMSUM(1,IMDIV(K42,Fv_fcz)),IMSUM(1,IMDIV(K42,Fv_fcp)))))</f>
        <v>-0.0393083124702168+0.204078841303755i</v>
      </c>
      <c r="N42" s="144" t="str">
        <f t="shared" si="2"/>
        <v>4.33756870522506+9.94297250141475i</v>
      </c>
      <c r="O42" s="144">
        <f t="shared" si="3"/>
        <v>20.70692342654127</v>
      </c>
      <c r="P42" s="144">
        <f t="shared" si="4"/>
        <v>66.43102027192938</v>
      </c>
      <c r="Q42" s="144">
        <f t="shared" si="7"/>
        <v>20.70692342654127</v>
      </c>
      <c r="R42" s="144">
        <f t="shared" si="5"/>
        <v>0</v>
      </c>
      <c r="S42" s="144">
        <f t="shared" si="6"/>
        <v>0</v>
      </c>
    </row>
    <row r="43" spans="10:19" ht="12.75">
      <c r="J43" s="144">
        <f t="shared" si="8"/>
        <v>1.3182567385564101</v>
      </c>
      <c r="K43" s="146" t="str">
        <f t="shared" si="0"/>
        <v>8.28285137078812i</v>
      </c>
      <c r="L43" s="144" t="str">
        <f t="shared" si="1"/>
        <v>40.4123749403257-30.4217435252526i</v>
      </c>
      <c r="M43" s="144" t="str">
        <f>IMPRODUCT(-1,IMPRODUCT(IMDIV(Fv_Co,K43),IMDIV(IMSUM(1,IMDIV(K43,Fv_fcz)),IMSUM(1,IMDIV(K43,Fv_fcp)))))</f>
        <v>-0.0393078390908612+0.186178064190718i</v>
      </c>
      <c r="N43" s="144" t="str">
        <f t="shared" si="2"/>
        <v>4.07533818740416+8.7197107350934i</v>
      </c>
      <c r="O43" s="144">
        <f t="shared" si="3"/>
        <v>19.668066876663133</v>
      </c>
      <c r="P43" s="144">
        <f t="shared" si="4"/>
        <v>64.94998634462108</v>
      </c>
      <c r="Q43" s="144">
        <f t="shared" si="7"/>
        <v>19.668066876663133</v>
      </c>
      <c r="R43" s="144">
        <f t="shared" si="5"/>
        <v>0</v>
      </c>
      <c r="S43" s="144">
        <f t="shared" si="6"/>
        <v>0</v>
      </c>
    </row>
    <row r="44" spans="10:19" ht="12.75">
      <c r="J44" s="144">
        <f t="shared" si="8"/>
        <v>1.445439770745931</v>
      </c>
      <c r="K44" s="146" t="str">
        <f t="shared" si="0"/>
        <v>9.08196592996386i</v>
      </c>
      <c r="L44" s="144" t="str">
        <f t="shared" si="1"/>
        <v>37.6573362139541-31.0827419445609i</v>
      </c>
      <c r="M44" s="144" t="str">
        <f>IMPRODUCT(-1,IMPRODUCT(IMDIV(Fv_Co,K44),IMDIV(IMSUM(1,IMDIV(K44,Fv_fcz)),IMSUM(1,IMDIV(K44,Fv_fcp)))))</f>
        <v>-0.0393072699787911+0.169857757646781i</v>
      </c>
      <c r="N44" s="144" t="str">
        <f t="shared" si="2"/>
        <v>3.79943776697266+7.61816841754911i</v>
      </c>
      <c r="O44" s="144">
        <f t="shared" si="3"/>
        <v>18.601715493350238</v>
      </c>
      <c r="P44" s="144">
        <f t="shared" si="4"/>
        <v>63.493018454957195</v>
      </c>
      <c r="Q44" s="144">
        <f t="shared" si="7"/>
        <v>18.601715493350238</v>
      </c>
      <c r="R44" s="144">
        <f t="shared" si="5"/>
        <v>0</v>
      </c>
      <c r="S44" s="144">
        <f t="shared" si="6"/>
        <v>0</v>
      </c>
    </row>
    <row r="45" spans="10:19" ht="12.75">
      <c r="J45" s="144">
        <f t="shared" si="8"/>
        <v>1.5848931924611174</v>
      </c>
      <c r="K45" s="146" t="str">
        <f t="shared" si="0"/>
        <v>9.95817762032064i</v>
      </c>
      <c r="L45" s="144" t="str">
        <f t="shared" si="1"/>
        <v>34.8046706306988-31.4997607497893i</v>
      </c>
      <c r="M45" s="144" t="str">
        <f>IMPRODUCT(-1,IMPRODUCT(IMDIV(Fv_Co,K45),IMDIV(IMSUM(1,IMDIV(K45,Fv_fcz)),IMSUM(1,IMDIV(K45,Fv_fcp)))))</f>
        <v>-0.0393065857774066+0.154979377492634i</v>
      </c>
      <c r="N45" s="144" t="str">
        <f t="shared" si="2"/>
        <v>3.5137605405693+6.63215423606124i</v>
      </c>
      <c r="O45" s="144">
        <f t="shared" si="3"/>
        <v>17.50755039144846</v>
      </c>
      <c r="P45" s="144">
        <f t="shared" si="4"/>
        <v>62.085052119894755</v>
      </c>
      <c r="Q45" s="144">
        <f t="shared" si="7"/>
        <v>17.50755039144846</v>
      </c>
      <c r="R45" s="144">
        <f t="shared" si="5"/>
        <v>0</v>
      </c>
      <c r="S45" s="144">
        <f t="shared" si="6"/>
        <v>0</v>
      </c>
    </row>
    <row r="46" spans="10:19" ht="12.75">
      <c r="J46" s="144">
        <f t="shared" si="8"/>
        <v>1.7378008287493798</v>
      </c>
      <c r="K46" s="146" t="str">
        <f t="shared" si="0"/>
        <v>10.9189246340026i</v>
      </c>
      <c r="L46" s="144" t="str">
        <f t="shared" si="1"/>
        <v>31.8994172457948-31.6557404332984i</v>
      </c>
      <c r="M46" s="144" t="str">
        <f>IMPRODUCT(-1,IMPRODUCT(IMDIV(Fv_Co,K46),IMDIV(IMSUM(1,IMDIV(K46,Fv_fcz)),IMSUM(1,IMDIV(K46,Fv_fcp)))))</f>
        <v>-0.0393057632179478+0.141416619948577i</v>
      </c>
      <c r="N46" s="144" t="str">
        <f t="shared" si="2"/>
        <v>3.22281687299283+5.75536080318969i</v>
      </c>
      <c r="O46" s="144">
        <f t="shared" si="3"/>
        <v>16.38596335498246</v>
      </c>
      <c r="P46" s="144">
        <f t="shared" si="4"/>
        <v>60.752577056932026</v>
      </c>
      <c r="Q46" s="144">
        <f t="shared" si="7"/>
        <v>16.38596335498246</v>
      </c>
      <c r="R46" s="144">
        <f t="shared" si="5"/>
        <v>0</v>
      </c>
      <c r="S46" s="144">
        <f t="shared" si="6"/>
        <v>0</v>
      </c>
    </row>
    <row r="47" spans="10:19" ht="12.75">
      <c r="J47" s="144">
        <f t="shared" si="8"/>
        <v>1.9054607179632521</v>
      </c>
      <c r="K47" s="146" t="str">
        <f aca="true" t="shared" si="9" ref="K47:K78">COMPLEX(0,2*PI()*J47)</f>
        <v>11.9723627865146i</v>
      </c>
      <c r="L47" s="144" t="str">
        <f aca="true" t="shared" si="10" ref="L47:L78">IMDIV(F2_Num,IMSUM(1,IMDIV(K47,F2_Dem)))</f>
        <v>28.990068831209-31.5441604761289i</v>
      </c>
      <c r="M47" s="144" t="str">
        <f>IMPRODUCT(-1,IMPRODUCT(IMDIV(Fv_Co,K47),IMDIV(IMSUM(1,IMDIV(K47,Fv_fcz)),IMSUM(1,IMDIV(K47,Fv_fcp)))))</f>
        <v>-0.0393047743295406+0.129054349384853i</v>
      </c>
      <c r="N47" s="144" t="str">
        <f aca="true" t="shared" si="11" ref="N47:N78">IMPRODUCT(L47,M47)</f>
        <v>2.93146299392969+4.98113058056284i</v>
      </c>
      <c r="O47" s="144">
        <f aca="true" t="shared" si="12" ref="O47:O78">20*LOG10(IMABS(N47))</f>
        <v>15.23813259097266</v>
      </c>
      <c r="P47" s="144">
        <f aca="true" t="shared" si="13" ref="P47:P78">(180/PI())*IMARGUMENT(N47)</f>
        <v>59.52261075515525</v>
      </c>
      <c r="Q47" s="144">
        <f t="shared" si="7"/>
        <v>15.23813259097266</v>
      </c>
      <c r="R47" s="144">
        <f aca="true" t="shared" si="14" ref="R47:R78">IF(Q47=Min_GL,J47,0)</f>
        <v>0</v>
      </c>
      <c r="S47" s="144">
        <f aca="true" t="shared" si="15" ref="S47:S78">IF(Q47=Min_GL,P47,0)</f>
        <v>0</v>
      </c>
    </row>
    <row r="48" spans="10:19" ht="12.75">
      <c r="J48" s="144">
        <f t="shared" si="8"/>
        <v>2.089296130854045</v>
      </c>
      <c r="K48" s="146" t="str">
        <f t="shared" si="9"/>
        <v>13.1274347517293i</v>
      </c>
      <c r="L48" s="144" t="str">
        <f t="shared" si="10"/>
        <v>26.1253910200166-31.169693104306i</v>
      </c>
      <c r="M48" s="144" t="str">
        <f>IMPRODUCT(-1,IMPRODUCT(IMDIV(Fv_Co,K48),IMDIV(IMSUM(1,IMDIV(K48,Fv_fcz)),IMSUM(1,IMDIV(K48,Fv_fcp)))))</f>
        <v>-0.0393035854900498+0.117787620862166i</v>
      </c>
      <c r="N48" s="144" t="str">
        <f t="shared" si="11"/>
        <v>2.64458245434386+4.30232834996526i</v>
      </c>
      <c r="O48" s="144">
        <f t="shared" si="12"/>
        <v>14.066056703182001</v>
      </c>
      <c r="P48" s="144">
        <f t="shared" si="13"/>
        <v>58.42152576685162</v>
      </c>
      <c r="Q48" s="144">
        <f t="shared" si="7"/>
        <v>14.066056703182001</v>
      </c>
      <c r="R48" s="144">
        <f t="shared" si="14"/>
        <v>0</v>
      </c>
      <c r="S48" s="144">
        <f t="shared" si="15"/>
        <v>0</v>
      </c>
    </row>
    <row r="49" spans="1:19" ht="12.75">
      <c r="A49" s="239"/>
      <c r="B49" s="239"/>
      <c r="C49" s="239"/>
      <c r="D49" s="239"/>
      <c r="E49" s="239"/>
      <c r="F49" s="239"/>
      <c r="G49" s="239"/>
      <c r="H49" s="147"/>
      <c r="I49" s="147"/>
      <c r="J49" s="144">
        <f t="shared" si="8"/>
        <v>2.2908676527677794</v>
      </c>
      <c r="K49" s="146" t="str">
        <f t="shared" si="9"/>
        <v>14.3939459765635i</v>
      </c>
      <c r="L49" s="144" t="str">
        <f t="shared" si="10"/>
        <v>23.3512035421272-30.5477337282073i</v>
      </c>
      <c r="M49" s="144" t="str">
        <f>IMPRODUCT(-1,IMPRODUCT(IMDIV(Fv_Co,K49),IMDIV(IMSUM(1,IMDIV(K49,Fv_fcz)),IMSUM(1,IMDIV(K49,Fv_fcp)))))</f>
        <v>-0.0393021562858154+0.107520789159378i</v>
      </c>
      <c r="N49" s="144" t="str">
        <f t="shared" si="11"/>
        <v>2.36676378641283+3.71133163783426i</v>
      </c>
      <c r="O49" s="144">
        <f t="shared" si="12"/>
        <v>12.872541143768743</v>
      </c>
      <c r="P49" s="144">
        <f t="shared" si="13"/>
        <v>57.47381987970065</v>
      </c>
      <c r="Q49" s="144">
        <f t="shared" si="7"/>
        <v>12.872541143768743</v>
      </c>
      <c r="R49" s="144">
        <f t="shared" si="14"/>
        <v>0</v>
      </c>
      <c r="S49" s="144">
        <f t="shared" si="15"/>
        <v>0</v>
      </c>
    </row>
    <row r="50" spans="1:19" ht="12.75">
      <c r="A50" s="12" t="str">
        <f>Copy_Right</f>
        <v>© 2010 Fairchild Semiconductor Corporation.  All rights reserved.</v>
      </c>
      <c r="B50" s="1"/>
      <c r="C50" s="2"/>
      <c r="D50" s="1"/>
      <c r="E50" s="1"/>
      <c r="H50" s="252" t="s">
        <v>80</v>
      </c>
      <c r="I50" s="252"/>
      <c r="J50" s="144">
        <f t="shared" si="8"/>
        <v>2.5118864315095872</v>
      </c>
      <c r="K50" s="146" t="str">
        <f t="shared" si="9"/>
        <v>15.7826479197648i</v>
      </c>
      <c r="L50" s="144" t="str">
        <f t="shared" si="10"/>
        <v>20.7075651826629-29.7028939103881i</v>
      </c>
      <c r="M50" s="144" t="str">
        <f>IMPRODUCT(-1,IMPRODUCT(IMDIV(Fv_Co,K50),IMDIV(IMSUM(1,IMDIV(K50,Fv_fcz)),IMSUM(1,IMDIV(K50,Fv_fcp)))))</f>
        <v>-0.0393004381419908+0.0981666967179473i</v>
      </c>
      <c r="N50" s="144" t="str">
        <f t="shared" si="11"/>
        <v>2.10201859361395+3.20013001581692i</v>
      </c>
      <c r="O50" s="144">
        <f t="shared" si="12"/>
        <v>11.66113655928724</v>
      </c>
      <c r="P50" s="144">
        <f t="shared" si="13"/>
        <v>56.70092458881513</v>
      </c>
      <c r="Q50" s="144">
        <f t="shared" si="7"/>
        <v>11.66113655928724</v>
      </c>
      <c r="R50" s="144">
        <f t="shared" si="14"/>
        <v>0</v>
      </c>
      <c r="S50" s="144">
        <f t="shared" si="15"/>
        <v>0</v>
      </c>
    </row>
    <row r="51" spans="1:19" ht="12.75">
      <c r="A51" s="12" t="str">
        <f>CONCATENATE("Rev. ",[0]!Rev,"  ·  ",TEXT([0]!Date,"mm/dd/yyyy"),"  ·  M. Smith")</f>
        <v>Rev. 3  ·  06/01/2010  ·  M. Smith</v>
      </c>
      <c r="B51" s="1"/>
      <c r="C51" s="2"/>
      <c r="D51" s="1"/>
      <c r="E51" s="1"/>
      <c r="F51" s="1"/>
      <c r="G51" s="1"/>
      <c r="J51" s="144">
        <f>10^(4/100)*J50</f>
        <v>2.7542287033381743</v>
      </c>
      <c r="K51" s="146" t="str">
        <f t="shared" si="9"/>
        <v>17.3053293214267i</v>
      </c>
      <c r="L51" s="144" t="str">
        <f t="shared" si="10"/>
        <v>18.2267117815994-28.6667232085993i</v>
      </c>
      <c r="M51" s="144" t="str">
        <f>IMPRODUCT(-1,IMPRODUCT(IMDIV(Fv_Co,K51),IMDIV(IMSUM(1,IMDIV(K51,Fv_fcz)),IMSUM(1,IMDIV(K51,Fv_fcp)))))</f>
        <v>-0.0392983726776378+0.08964593360034i</v>
      </c>
      <c r="N51" s="144" t="str">
        <f t="shared" si="11"/>
        <v>1.85357505301623+2.76050616622402i</v>
      </c>
      <c r="O51" s="144">
        <f t="shared" si="12"/>
        <v>10.436033239802223</v>
      </c>
      <c r="P51" s="144">
        <f t="shared" si="13"/>
        <v>56.12013916924481</v>
      </c>
      <c r="Q51" s="144">
        <f t="shared" si="7"/>
        <v>10.436033239802223</v>
      </c>
      <c r="R51" s="144">
        <f t="shared" si="14"/>
        <v>0</v>
      </c>
      <c r="S51" s="144">
        <f t="shared" si="15"/>
        <v>0</v>
      </c>
    </row>
    <row r="52" spans="10:19" ht="12.75">
      <c r="J52" s="144">
        <f>10^(4/100)*J51</f>
        <v>3.019951720402025</v>
      </c>
      <c r="K52" s="146" t="str">
        <f t="shared" si="9"/>
        <v>18.9749162780217i</v>
      </c>
      <c r="L52" s="144" t="str">
        <f t="shared" si="10"/>
        <v>15.9319343378686-27.4750337645407i</v>
      </c>
      <c r="M52" s="144" t="str">
        <f>IMPRODUCT(-1,IMPRODUCT(IMDIV(Fv_Co,K52),IMDIV(IMSUM(1,IMDIV(K52,Fv_fcz)),IMSUM(1,IMDIV(K52,Fv_fcp)))))</f>
        <v>-0.0392958897307008+0.0818861631681246i</v>
      </c>
      <c r="N52" s="144" t="str">
        <f t="shared" si="11"/>
        <v>1.62376556295526+2.38426087193323i</v>
      </c>
      <c r="O52" s="144">
        <f t="shared" si="12"/>
        <v>9.201919367301295</v>
      </c>
      <c r="P52" s="144">
        <f t="shared" si="13"/>
        <v>55.74375927304709</v>
      </c>
      <c r="Q52" s="144">
        <f t="shared" si="7"/>
        <v>9.201919367301295</v>
      </c>
      <c r="R52" s="144">
        <f t="shared" si="14"/>
        <v>0</v>
      </c>
      <c r="S52" s="144">
        <f t="shared" si="15"/>
        <v>0</v>
      </c>
    </row>
    <row r="53" spans="10:19" ht="12.75">
      <c r="J53" s="144">
        <f t="shared" si="8"/>
        <v>3.311311214825921</v>
      </c>
      <c r="K53" s="146" t="str">
        <f t="shared" si="9"/>
        <v>20.8055819724932i</v>
      </c>
      <c r="L53" s="144" t="str">
        <f t="shared" si="10"/>
        <v>13.8374031123521-26.1652157413702i</v>
      </c>
      <c r="M53" s="144" t="str">
        <f>IMPRODUCT(-1,IMPRODUCT(IMDIV(Fv_Co,K53),IMDIV(IMSUM(1,IMDIV(K53,Fv_fcz)),IMSUM(1,IMDIV(K53,Fv_fcp)))))</f>
        <v>-0.0392929049872388+0.0748215077395i</v>
      </c>
      <c r="N53" s="144" t="str">
        <f t="shared" si="11"/>
        <v>1.41400912633484+2.0634427001617i</v>
      </c>
      <c r="O53" s="144">
        <f t="shared" si="12"/>
        <v>7.963812572384798</v>
      </c>
      <c r="P53" s="144">
        <f t="shared" si="13"/>
        <v>55.57844681873446</v>
      </c>
      <c r="Q53" s="144">
        <f t="shared" si="7"/>
        <v>7.963812572384798</v>
      </c>
      <c r="R53" s="144">
        <f t="shared" si="14"/>
        <v>0</v>
      </c>
      <c r="S53" s="144">
        <f t="shared" si="15"/>
        <v>0</v>
      </c>
    </row>
    <row r="54" spans="10:19" ht="12.75">
      <c r="J54" s="144">
        <f t="shared" si="8"/>
        <v>3.6307805477010247</v>
      </c>
      <c r="K54" s="146" t="str">
        <f t="shared" si="9"/>
        <v>22.8128669909085i</v>
      </c>
      <c r="L54" s="144" t="str">
        <f t="shared" si="10"/>
        <v>11.9487927814616-24.7738644223262i</v>
      </c>
      <c r="M54" s="144" t="str">
        <f>IMPRODUCT(-1,IMPRODUCT(IMDIV(Fv_Co,K54),IMDIV(IMSUM(1,IMDIV(K54,Fv_fcz)),IMSUM(1,IMDIV(K54,Fv_fcp)))))</f>
        <v>-0.0392893171365289+0.0683919889901682i</v>
      </c>
      <c r="N54" s="144" t="str">
        <f t="shared" si="11"/>
        <v>1.22487395382614+1.79054992034167i</v>
      </c>
      <c r="O54" s="144">
        <f t="shared" si="12"/>
        <v>6.726874715166247</v>
      </c>
      <c r="P54" s="144">
        <f t="shared" si="13"/>
        <v>55.624867993299496</v>
      </c>
      <c r="Q54" s="144">
        <f t="shared" si="7"/>
        <v>6.726874715166247</v>
      </c>
      <c r="R54" s="144">
        <f t="shared" si="14"/>
        <v>0</v>
      </c>
      <c r="S54" s="144">
        <f t="shared" si="15"/>
        <v>0</v>
      </c>
    </row>
    <row r="55" spans="10:19" ht="12.75">
      <c r="J55" s="144">
        <f t="shared" si="8"/>
        <v>3.981071705534985</v>
      </c>
      <c r="K55" s="146" t="str">
        <f t="shared" si="9"/>
        <v>25.0138112470458i</v>
      </c>
      <c r="L55" s="144" t="str">
        <f t="shared" si="10"/>
        <v>10.2644734151321-23.3349245614918i</v>
      </c>
      <c r="M55" s="144" t="str">
        <f>IMPRODUCT(-1,IMPRODUCT(IMDIV(Fv_Co,K55),IMDIV(IMSUM(1,IMDIV(K55,Fv_fcz)),IMSUM(1,IMDIV(K55,Fv_fcp)))))</f>
        <v>-0.0392850044585378+0.0625430183196088i</v>
      </c>
      <c r="N55" s="144" t="str">
        <f t="shared" si="11"/>
        <v>1.05619673045806+1.55868376428159i</v>
      </c>
      <c r="O55" s="144">
        <f t="shared" si="12"/>
        <v>5.496219496840534</v>
      </c>
      <c r="P55" s="144">
        <f t="shared" si="13"/>
        <v>55.87761155164887</v>
      </c>
      <c r="Q55" s="144">
        <f t="shared" si="7"/>
        <v>5.496219496840534</v>
      </c>
      <c r="R55" s="144">
        <f t="shared" si="14"/>
        <v>0</v>
      </c>
      <c r="S55" s="144">
        <f t="shared" si="15"/>
        <v>0</v>
      </c>
    </row>
    <row r="56" spans="10:19" ht="12.75">
      <c r="J56" s="144">
        <f t="shared" si="8"/>
        <v>4.3651583224016735</v>
      </c>
      <c r="K56" s="146" t="str">
        <f t="shared" si="9"/>
        <v>27.4270986348269i</v>
      </c>
      <c r="L56" s="144" t="str">
        <f t="shared" si="10"/>
        <v>8.77700791200004-21.8784331784901i</v>
      </c>
      <c r="M56" s="144" t="str">
        <f>IMPRODUCT(-1,IMPRODUCT(IMDIV(Fv_Co,K56),IMDIV(IMSUM(1,IMDIV(K56,Fv_fcz)),IMSUM(1,IMDIV(K56,Fv_fcp)))))</f>
        <v>-0.0392798207324039+0.0572249328202819i</v>
      </c>
      <c r="N56" s="144" t="str">
        <f t="shared" si="11"/>
        <v>0.90723257150187+1.36164462128425i</v>
      </c>
      <c r="O56" s="144">
        <f t="shared" si="12"/>
        <v>4.276722207887466</v>
      </c>
      <c r="P56" s="144">
        <f t="shared" si="13"/>
        <v>56.32538961442757</v>
      </c>
      <c r="Q56" s="144">
        <f t="shared" si="7"/>
        <v>4.276722207887466</v>
      </c>
      <c r="R56" s="144">
        <f t="shared" si="14"/>
        <v>0</v>
      </c>
      <c r="S56" s="144">
        <f t="shared" si="15"/>
        <v>0</v>
      </c>
    </row>
    <row r="57" spans="10:19" ht="12.75">
      <c r="J57" s="144">
        <f t="shared" si="8"/>
        <v>4.786300923226399</v>
      </c>
      <c r="K57" s="146" t="str">
        <f t="shared" si="9"/>
        <v>30.0732156365562i</v>
      </c>
      <c r="L57" s="144" t="str">
        <f t="shared" si="10"/>
        <v>7.47472473034312-20.4298383644382i</v>
      </c>
      <c r="M57" s="144" t="str">
        <f>IMPRODUCT(-1,IMPRODUCT(IMDIV(Fv_Co,K57),IMDIV(IMSUM(1,IMDIV(K57,Fv_fcz)),IMSUM(1,IMDIV(K57,Fv_fcp)))))</f>
        <v>-0.0392735903335816+0.0523925728630962i</v>
      </c>
      <c r="N57" s="144" t="str">
        <f t="shared" si="11"/>
        <v>0.77681251817432+1.19397316257232i</v>
      </c>
      <c r="O57" s="144">
        <f t="shared" si="12"/>
        <v>3.072841021329337</v>
      </c>
      <c r="P57" s="144">
        <f t="shared" si="13"/>
        <v>56.9515143171664</v>
      </c>
      <c r="Q57" s="144">
        <f t="shared" si="7"/>
        <v>3.072841021329337</v>
      </c>
      <c r="R57" s="144">
        <f t="shared" si="14"/>
        <v>0</v>
      </c>
      <c r="S57" s="144">
        <f t="shared" si="15"/>
        <v>0</v>
      </c>
    </row>
    <row r="58" spans="10:19" ht="12.75">
      <c r="J58" s="144">
        <f t="shared" si="8"/>
        <v>5.248074602497743</v>
      </c>
      <c r="K58" s="146" t="str">
        <f t="shared" si="9"/>
        <v>32.9746252333962i</v>
      </c>
      <c r="L58" s="144" t="str">
        <f t="shared" si="10"/>
        <v>6.3431927110054-19.0098037224932i</v>
      </c>
      <c r="M58" s="144" t="str">
        <f>IMPRODUCT(-1,IMPRODUCT(IMDIV(Fv_Co,K58),IMDIV(IMSUM(1,IMDIV(K58,Fv_fcz)),IMSUM(1,IMDIV(K58,Fv_fcp)))))</f>
        <v>-0.039266102362731+0.0480048976508922i</v>
      </c>
      <c r="N58" s="144" t="str">
        <f t="shared" si="11"/>
        <v>0.663491227764968+1.05094521573454i</v>
      </c>
      <c r="O58" s="144">
        <f t="shared" si="12"/>
        <v>1.888459615989375</v>
      </c>
      <c r="P58" s="144">
        <f t="shared" si="13"/>
        <v>57.734631769517726</v>
      </c>
      <c r="Q58" s="144">
        <f t="shared" si="7"/>
        <v>1.888459615989375</v>
      </c>
      <c r="R58" s="144">
        <f t="shared" si="14"/>
        <v>0</v>
      </c>
      <c r="S58" s="144">
        <f t="shared" si="15"/>
        <v>0</v>
      </c>
    </row>
    <row r="59" spans="10:19" ht="12.75">
      <c r="J59" s="144">
        <f t="shared" si="8"/>
        <v>5.754399373371588</v>
      </c>
      <c r="K59" s="146" t="str">
        <f t="shared" si="9"/>
        <v>36.1559575944118i</v>
      </c>
      <c r="L59" s="144" t="str">
        <f t="shared" si="10"/>
        <v>5.36649080778977-17.6343768200335i</v>
      </c>
      <c r="M59" s="144" t="str">
        <f>IMPRODUCT(-1,IMPRODUCT(IMDIV(Fv_Co,K59),IMDIV(IMSUM(1,IMDIV(K59,Fv_fcz)),IMSUM(1,IMDIV(K59,Fv_fcp)))))</f>
        <v>-0.0392571036208703+0.0440246353945391i</v>
      </c>
      <c r="N59" s="144" t="str">
        <f t="shared" si="11"/>
        <v>0.565674124190036+0.928532359274619i</v>
      </c>
      <c r="O59" s="144">
        <f t="shared" si="12"/>
        <v>0.7267609756664002</v>
      </c>
      <c r="P59" s="144">
        <f t="shared" si="13"/>
        <v>58.64967747432019</v>
      </c>
      <c r="Q59" s="144">
        <f t="shared" si="7"/>
        <v>0.7267609756664002</v>
      </c>
      <c r="R59" s="144">
        <f t="shared" si="14"/>
        <v>0</v>
      </c>
      <c r="S59" s="144">
        <f t="shared" si="15"/>
        <v>0</v>
      </c>
    </row>
    <row r="60" spans="10:19" ht="12.75">
      <c r="J60" s="144">
        <f t="shared" si="8"/>
        <v>6.309573444801954</v>
      </c>
      <c r="K60" s="146" t="str">
        <f t="shared" si="9"/>
        <v>39.6442191629501i</v>
      </c>
      <c r="L60" s="144" t="str">
        <f t="shared" si="10"/>
        <v>4.52822439038186-16.3153977786033i</v>
      </c>
      <c r="M60" s="144" t="str">
        <f>IMPRODUCT(-1,IMPRODUCT(IMDIV(Fv_Co,K60),IMDIV(IMSUM(1,IMDIV(K60,Fv_fcz)),IMSUM(1,IMDIV(K60,Fv_fcp)))))</f>
        <v>-0.0392462902123549+0.0404179650347698i</v>
      </c>
      <c r="N60" s="144" t="str">
        <f t="shared" si="11"/>
        <v>0.481719168372359+0.823340451229121i</v>
      </c>
      <c r="O60" s="144">
        <f t="shared" si="12"/>
        <v>-0.4098588041155464</v>
      </c>
      <c r="P60" s="144">
        <f t="shared" si="13"/>
        <v>59.668995758365824</v>
      </c>
      <c r="Q60" s="144">
        <f t="shared" si="7"/>
        <v>0.4098588041155464</v>
      </c>
      <c r="R60" s="144">
        <f t="shared" si="14"/>
        <v>6.309573444801954</v>
      </c>
      <c r="S60" s="144">
        <f t="shared" si="15"/>
        <v>59.668995758365824</v>
      </c>
    </row>
    <row r="61" spans="10:19" ht="12.75">
      <c r="J61" s="144">
        <f t="shared" si="8"/>
        <v>6.918309709189389</v>
      </c>
      <c r="K61" s="146" t="str">
        <f t="shared" si="9"/>
        <v>43.4690219152966i</v>
      </c>
      <c r="L61" s="144" t="str">
        <f t="shared" si="10"/>
        <v>3.8122839164401-15.0610400655701i</v>
      </c>
      <c r="M61" s="144" t="str">
        <f>IMPRODUCT(-1,IMPRODUCT(IMDIV(Fv_Co,K61),IMDIV(IMSUM(1,IMDIV(K61,Fv_fcz)),IMSUM(1,IMDIV(K61,Fv_fcp)))))</f>
        <v>-0.0392332975196261+0.0371542266675505i</v>
      </c>
      <c r="N61" s="144" t="str">
        <f t="shared" si="11"/>
        <v>0.410012827322271+0.732536726599993i</v>
      </c>
      <c r="O61" s="144">
        <f t="shared" si="12"/>
        <v>-1.5198304904743316</v>
      </c>
      <c r="P61" s="144">
        <f t="shared" si="13"/>
        <v>60.763544578557166</v>
      </c>
      <c r="Q61" s="144">
        <f t="shared" si="7"/>
        <v>1.5198304904743316</v>
      </c>
      <c r="R61" s="144">
        <f t="shared" si="14"/>
        <v>0</v>
      </c>
      <c r="S61" s="144">
        <f t="shared" si="15"/>
        <v>0</v>
      </c>
    </row>
    <row r="62" spans="10:19" ht="12.75">
      <c r="J62" s="144">
        <f t="shared" si="8"/>
        <v>7.585775750291864</v>
      </c>
      <c r="K62" s="146" t="str">
        <f t="shared" si="9"/>
        <v>47.662834737793i</v>
      </c>
      <c r="L62" s="144" t="str">
        <f t="shared" si="10"/>
        <v>3.20336978848486-13.8763997457824i</v>
      </c>
      <c r="M62" s="144" t="str">
        <f>IMPRODUCT(-1,IMPRODUCT(IMDIV(Fv_Co,K62),IMDIV(IMSUM(1,IMDIV(K62,Fv_fcz)),IMSUM(1,IMDIV(K62,Fv_fcp)))))</f>
        <v>-0.0392176882512875+0.0342056580313528i</v>
      </c>
      <c r="N62" s="144" t="str">
        <f t="shared" si="11"/>
        <v>0.349022626692192+0.653773690813219i</v>
      </c>
      <c r="O62" s="144">
        <f t="shared" si="12"/>
        <v>-2.6024034594273187</v>
      </c>
      <c r="P62" s="144">
        <f t="shared" si="13"/>
        <v>61.90409287009417</v>
      </c>
      <c r="Q62" s="144">
        <f>ABS(O62)</f>
        <v>2.6024034594273187</v>
      </c>
      <c r="R62" s="144">
        <f t="shared" si="14"/>
        <v>0</v>
      </c>
      <c r="S62" s="144">
        <f t="shared" si="15"/>
        <v>0</v>
      </c>
    </row>
    <row r="63" spans="10:19" ht="12.75">
      <c r="J63" s="144">
        <f t="shared" si="8"/>
        <v>8.31763771102674</v>
      </c>
      <c r="K63" s="146" t="str">
        <f t="shared" si="9"/>
        <v>52.2612590563661i</v>
      </c>
      <c r="L63" s="144" t="str">
        <f t="shared" si="10"/>
        <v>2.68732140184046-12.7640747195726i</v>
      </c>
      <c r="M63" s="144" t="str">
        <f>IMPRODUCT(-1,IMPRODUCT(IMDIV(Fv_Co,K63),IMDIV(IMSUM(1,IMDIV(K63,Fv_fcz)),IMSUM(1,IMDIV(K63,Fv_fcp)))))</f>
        <v>-0.0391989382182024+0.0315471545800587i</v>
      </c>
      <c r="N63" s="144" t="str">
        <f t="shared" si="11"/>
        <v>0.297330092646579+0.585115520015207i</v>
      </c>
      <c r="O63" s="144">
        <f t="shared" si="12"/>
        <v>-3.657592320431813</v>
      </c>
      <c r="P63" s="144">
        <f t="shared" si="13"/>
        <v>63.06231608234366</v>
      </c>
      <c r="Q63" s="144">
        <f t="shared" si="7"/>
        <v>3.657592320431813</v>
      </c>
      <c r="R63" s="144">
        <f t="shared" si="14"/>
        <v>0</v>
      </c>
      <c r="S63" s="144">
        <f t="shared" si="15"/>
        <v>0</v>
      </c>
    </row>
    <row r="64" spans="10:19" ht="12.75">
      <c r="J64" s="144">
        <f t="shared" si="8"/>
        <v>9.12010839355913</v>
      </c>
      <c r="K64" s="146" t="str">
        <f t="shared" si="9"/>
        <v>57.3033310582959i</v>
      </c>
      <c r="L64" s="144" t="str">
        <f t="shared" si="10"/>
        <v>2.25129250277048-11.724697646188i</v>
      </c>
      <c r="M64" s="144" t="str">
        <f>IMPRODUCT(-1,IMPRODUCT(IMDIV(Fv_Co,K64),IMDIV(IMSUM(1,IMDIV(K64,Fv_fcz)),IMSUM(1,IMDIV(K64,Fv_fcp)))))</f>
        <v>-0.0391764194417674+0.0291560507932126i</v>
      </c>
      <c r="N64" s="144" t="str">
        <f t="shared" si="11"/>
        <v>0.253648300732675+0.524970471376119i</v>
      </c>
      <c r="O64" s="144">
        <f t="shared" si="12"/>
        <v>-4.686086451923391</v>
      </c>
      <c r="P64" s="144">
        <f t="shared" si="13"/>
        <v>64.2117089253148</v>
      </c>
      <c r="Q64" s="144">
        <f t="shared" si="7"/>
        <v>4.686086451923391</v>
      </c>
      <c r="R64" s="144">
        <f t="shared" si="14"/>
        <v>0</v>
      </c>
      <c r="S64" s="144">
        <f t="shared" si="15"/>
        <v>0</v>
      </c>
    </row>
    <row r="65" spans="10:19" ht="12.75">
      <c r="J65" s="144">
        <f aca="true" t="shared" si="16" ref="J65:J89">10^(4/100)*J64</f>
        <v>10.000000000000037</v>
      </c>
      <c r="K65" s="146" t="str">
        <f t="shared" si="9"/>
        <v>62.8318530717961i</v>
      </c>
      <c r="L65" s="144" t="str">
        <f t="shared" si="10"/>
        <v>1.88381276422744-10.757403581957i</v>
      </c>
      <c r="M65" s="144" t="str">
        <f>IMPRODUCT(-1,IMPRODUCT(IMDIV(Fv_Co,K65),IMDIV(IMSUM(1,IMDIV(K65,Fv_fcz)),IMSUM(1,IMDIV(K65,Fv_fcp)))))</f>
        <v>-0.039149380146014+0.027011920462621i</v>
      </c>
      <c r="N65" s="144" t="str">
        <f t="shared" si="11"/>
        <v>0.216828027909483+0.472031082767909i</v>
      </c>
      <c r="O65" s="144">
        <f t="shared" si="12"/>
        <v>-5.689134093193168</v>
      </c>
      <c r="P65" s="144">
        <f t="shared" si="13"/>
        <v>65.32826030419652</v>
      </c>
      <c r="Q65" s="144">
        <f t="shared" si="7"/>
        <v>5.689134093193168</v>
      </c>
      <c r="R65" s="144">
        <f t="shared" si="14"/>
        <v>0</v>
      </c>
      <c r="S65" s="144">
        <f t="shared" si="15"/>
        <v>0</v>
      </c>
    </row>
    <row r="66" spans="10:19" ht="12.75">
      <c r="J66" s="144">
        <f t="shared" si="16"/>
        <v>10.964781961431893</v>
      </c>
      <c r="K66" s="146" t="str">
        <f t="shared" si="9"/>
        <v>68.8937569164966i</v>
      </c>
      <c r="L66" s="144" t="str">
        <f t="shared" si="10"/>
        <v>1.57476998414213-9.86022568374415i</v>
      </c>
      <c r="M66" s="144" t="str">
        <f>IMPRODUCT(-1,IMPRODUCT(IMDIV(Fv_Co,K66),IMDIV(IMSUM(1,IMDIV(K66,Fv_fcz)),IMSUM(1,IMDIV(K66,Fv_fcp)))))</f>
        <v>-0.0391169211337708+0.0250963937363484i</v>
      </c>
      <c r="N66" s="144" t="str">
        <f t="shared" si="11"/>
        <v>0.185855952814981+0.425222717998415i</v>
      </c>
      <c r="O66" s="144">
        <f t="shared" si="12"/>
        <v>-6.668414205007678</v>
      </c>
      <c r="P66" s="144">
        <f t="shared" si="13"/>
        <v>66.39086798941273</v>
      </c>
      <c r="Q66" s="144">
        <f t="shared" si="7"/>
        <v>6.668414205007678</v>
      </c>
      <c r="R66" s="144">
        <f t="shared" si="14"/>
        <v>0</v>
      </c>
      <c r="S66" s="144">
        <f t="shared" si="15"/>
        <v>0</v>
      </c>
    </row>
    <row r="67" spans="10:19" ht="12.75">
      <c r="J67" s="144">
        <f t="shared" si="16"/>
        <v>12.022644346174177</v>
      </c>
      <c r="K67" s="146" t="str">
        <f t="shared" si="9"/>
        <v>75.5405023093273i</v>
      </c>
      <c r="L67" s="144" t="str">
        <f t="shared" si="10"/>
        <v>1.31534063615413-9.03042030796036i</v>
      </c>
      <c r="M67" s="144" t="str">
        <f>IMPRODUCT(-1,IMPRODUCT(IMDIV(Fv_Co,K67),IMDIV(IMSUM(1,IMDIV(K67,Fv_fcz)),IMSUM(1,IMDIV(K67,Fv_fcp)))))</f>
        <v>-0.0390779680017836+0.0233929886919298i</v>
      </c>
      <c r="N67" s="144" t="str">
        <f t="shared" si="11"/>
        <v>0.159847680856413+0.383660224464721i</v>
      </c>
      <c r="O67" s="144">
        <f t="shared" si="12"/>
        <v>-7.625908715022116</v>
      </c>
      <c r="P67" s="144">
        <f t="shared" si="13"/>
        <v>67.38150247519523</v>
      </c>
      <c r="Q67" s="144">
        <f t="shared" si="7"/>
        <v>7.625908715022116</v>
      </c>
      <c r="R67" s="144">
        <f t="shared" si="14"/>
        <v>0</v>
      </c>
      <c r="S67" s="144">
        <f t="shared" si="15"/>
        <v>0</v>
      </c>
    </row>
    <row r="68" spans="10:19" ht="12.75">
      <c r="J68" s="144">
        <f t="shared" si="16"/>
        <v>13.182567385564125</v>
      </c>
      <c r="K68" s="146" t="str">
        <f t="shared" si="9"/>
        <v>82.8285137078813i</v>
      </c>
      <c r="L68" s="144" t="str">
        <f t="shared" si="10"/>
        <v>1.09788994873481-8.26472744764007i</v>
      </c>
      <c r="M68" s="144" t="str">
        <f>IMPRODUCT(-1,IMPRODUCT(IMDIV(Fv_Co,K68),IMDIV(IMSUM(1,IMDIV(K68,Fv_fcz)),IMSUM(1,IMDIV(K68,Fv_fcp)))))</f>
        <v>-0.0390312386182864+0.0218869551428694i</v>
      </c>
      <c r="N68" s="144" t="str">
        <f t="shared" si="11"/>
        <v>0.138037714348853+0.346612017183707i</v>
      </c>
      <c r="O68" s="144">
        <f t="shared" si="12"/>
        <v>-8.563785454586599</v>
      </c>
      <c r="P68" s="144">
        <f t="shared" si="13"/>
        <v>68.28515464214092</v>
      </c>
      <c r="Q68" s="144">
        <f t="shared" si="7"/>
        <v>8.563785454586599</v>
      </c>
      <c r="R68" s="144">
        <f t="shared" si="14"/>
        <v>0</v>
      </c>
      <c r="S68" s="144">
        <f t="shared" si="15"/>
        <v>0</v>
      </c>
    </row>
    <row r="69" spans="10:19" ht="12.75">
      <c r="J69" s="144">
        <f t="shared" si="16"/>
        <v>14.454397707459336</v>
      </c>
      <c r="K69" s="146" t="str">
        <f t="shared" si="9"/>
        <v>90.8196592996388i</v>
      </c>
      <c r="L69" s="144" t="str">
        <f t="shared" si="10"/>
        <v>0.915856925738576-7.55957466538018i</v>
      </c>
      <c r="M69" s="144" t="str">
        <f>IMPRODUCT(-1,IMPRODUCT(IMDIV(Fv_Co,K69),IMDIV(IMSUM(1,IMDIV(K69,Fv_fcz)),IMSUM(1,IMDIV(K69,Fv_fcp)))))</f>
        <v>-0.038975205280952+0.0205651282476785i</v>
      </c>
      <c r="N69" s="144" t="str">
        <f t="shared" si="11"/>
        <v>0.119767910802802+0.313470689554215i</v>
      </c>
      <c r="O69" s="144">
        <f t="shared" si="12"/>
        <v>-9.484298845148853</v>
      </c>
      <c r="P69" s="144">
        <f t="shared" si="13"/>
        <v>69.0896169869173</v>
      </c>
      <c r="Q69" s="144">
        <f t="shared" si="7"/>
        <v>9.484298845148853</v>
      </c>
      <c r="R69" s="144">
        <f t="shared" si="14"/>
        <v>0</v>
      </c>
      <c r="S69" s="144">
        <f t="shared" si="15"/>
        <v>0</v>
      </c>
    </row>
    <row r="70" spans="10:19" ht="12.75">
      <c r="J70" s="144">
        <f t="shared" si="16"/>
        <v>15.848931924611202</v>
      </c>
      <c r="K70" s="146" t="str">
        <f t="shared" si="9"/>
        <v>99.5817762032066i</v>
      </c>
      <c r="L70" s="144" t="str">
        <f t="shared" si="10"/>
        <v>0.763635004135102-6.91123331855451i</v>
      </c>
      <c r="M70" s="144" t="str">
        <f>IMPRODUCT(-1,IMPRODUCT(IMDIV(Fv_Co,K70),IMDIV(IMSUM(1,IMDIV(K70,Fv_fcz)),IMSUM(1,IMDIV(K70,Fv_fcp)))))</f>
        <v>-0.0389080510108837+0.019415789279838i</v>
      </c>
      <c r="N70" s="144" t="str">
        <f t="shared" si="11"/>
        <v>0.104475500082265+0.283729194833433i</v>
      </c>
      <c r="O70" s="144">
        <f t="shared" si="12"/>
        <v>-10.389712005772264</v>
      </c>
      <c r="P70" s="144">
        <f t="shared" si="13"/>
        <v>69.78515310686578</v>
      </c>
      <c r="Q70" s="144">
        <f t="shared" si="7"/>
        <v>10.389712005772264</v>
      </c>
      <c r="R70" s="144">
        <f t="shared" si="14"/>
        <v>0</v>
      </c>
      <c r="S70" s="144">
        <f t="shared" si="15"/>
        <v>0</v>
      </c>
    </row>
    <row r="71" spans="10:19" ht="12.75">
      <c r="J71" s="144">
        <f t="shared" si="16"/>
        <v>17.37800828749383</v>
      </c>
      <c r="K71" s="146" t="str">
        <f t="shared" si="9"/>
        <v>109.189246340026i</v>
      </c>
      <c r="L71" s="144" t="str">
        <f t="shared" si="10"/>
        <v>0.636455382209898-6.31593556125802i</v>
      </c>
      <c r="M71" s="144" t="str">
        <f>IMPRODUCT(-1,IMPRODUCT(IMDIV(Fv_Co,K71),IMDIV(IMSUM(1,IMDIV(K71,Fv_fcz)),IMSUM(1,IMDIV(K71,Fv_fcp)))))</f>
        <v>-0.0388276195444012+0.0184285306217074i</v>
      </c>
      <c r="N71" s="144" t="str">
        <f t="shared" si="11"/>
        <v>0.0916813644579418+0.256961680539886i</v>
      </c>
      <c r="O71" s="144">
        <f t="shared" si="12"/>
        <v>-11.282241034136442</v>
      </c>
      <c r="P71" s="144">
        <f t="shared" si="13"/>
        <v>70.36410687681487</v>
      </c>
      <c r="Q71" s="144">
        <f t="shared" si="7"/>
        <v>11.282241034136442</v>
      </c>
      <c r="R71" s="144">
        <f t="shared" si="14"/>
        <v>0</v>
      </c>
      <c r="S71" s="144">
        <f t="shared" si="15"/>
        <v>0</v>
      </c>
    </row>
    <row r="72" spans="10:19" ht="12.75">
      <c r="J72" s="144">
        <f t="shared" si="16"/>
        <v>19.05460717963256</v>
      </c>
      <c r="K72" s="146" t="str">
        <f t="shared" si="9"/>
        <v>119.723627865146i</v>
      </c>
      <c r="L72" s="144" t="str">
        <f t="shared" si="10"/>
        <v>0.530277328242091-5.76995978737171i</v>
      </c>
      <c r="M72" s="144" t="str">
        <f>IMPRODUCT(-1,IMPRODUCT(IMDIV(Fv_Co,K72),IMDIV(IMSUM(1,IMDIV(K72,Fv_fcz)),IMSUM(1,IMDIV(K72,Fv_fcp)))))</f>
        <v>-0.0387313587937689+0.0175941216599019i</v>
      </c>
      <c r="N72" s="144" t="str">
        <f t="shared" si="11"/>
        <v>0.080979013011414+0.232808146576891i</v>
      </c>
      <c r="O72" s="144">
        <f t="shared" si="12"/>
        <v>-12.164020082320537</v>
      </c>
      <c r="P72" s="144">
        <f t="shared" si="13"/>
        <v>70.82049440201726</v>
      </c>
      <c r="Q72" s="144">
        <f t="shared" si="7"/>
        <v>12.164020082320537</v>
      </c>
      <c r="R72" s="144">
        <f t="shared" si="14"/>
        <v>0</v>
      </c>
      <c r="S72" s="144">
        <f t="shared" si="15"/>
        <v>0</v>
      </c>
    </row>
    <row r="73" spans="10:19" ht="12.75">
      <c r="J73" s="144">
        <f t="shared" si="16"/>
        <v>20.892961308540492</v>
      </c>
      <c r="K73" s="146" t="str">
        <f t="shared" si="9"/>
        <v>131.274347517293i</v>
      </c>
      <c r="L73" s="144" t="str">
        <f t="shared" si="10"/>
        <v>0.441687831854894-5.26969114310106i</v>
      </c>
      <c r="M73" s="144" t="str">
        <f>IMPRODUCT(-1,IMPRODUCT(IMDIV(Fv_Co,K73),IMDIV(IMSUM(1,IMDIV(K73,Fv_fcz)),IMSUM(1,IMDIV(K73,Fv_fcp)))))</f>
        <v>-0.0386162579082626+0.0169043717847842i</v>
      </c>
      <c r="N73" s="144" t="str">
        <f t="shared" si="11"/>
        <v>0.0720244870441148+0.210962207601368i</v>
      </c>
      <c r="O73" s="144">
        <f t="shared" si="12"/>
        <v>-13.037084564483166</v>
      </c>
      <c r="P73" s="144">
        <f t="shared" si="13"/>
        <v>71.14961138746122</v>
      </c>
      <c r="Q73" s="144">
        <f t="shared" si="7"/>
        <v>13.037084564483166</v>
      </c>
      <c r="R73" s="144">
        <f t="shared" si="14"/>
        <v>0</v>
      </c>
      <c r="S73" s="144">
        <f t="shared" si="15"/>
        <v>0</v>
      </c>
    </row>
    <row r="74" spans="10:19" ht="12.75">
      <c r="J74" s="144">
        <f t="shared" si="16"/>
        <v>22.90867652767784</v>
      </c>
      <c r="K74" s="146" t="str">
        <f t="shared" si="9"/>
        <v>143.939459765635i</v>
      </c>
      <c r="L74" s="144" t="str">
        <f t="shared" si="10"/>
        <v>0.367811619891066-4.81166266496828i</v>
      </c>
      <c r="M74" s="144" t="str">
        <f>IMPRODUCT(-1,IMPRODUCT(IMDIV(Fv_Co,K74),IMDIV(IMSUM(1,IMDIV(K74,Fv_fcz)),IMSUM(1,IMDIV(K74,Fv_fcp)))))</f>
        <v>-0.0384787786406109+0.0163519861453933i</v>
      </c>
      <c r="N74" s="144" t="str">
        <f t="shared" si="11"/>
        <v>0.0645272993306347+0.19116135309118i</v>
      </c>
      <c r="O74" s="144">
        <f t="shared" si="12"/>
        <v>-13.903369277943742</v>
      </c>
      <c r="P74" s="144">
        <f t="shared" si="13"/>
        <v>71.34767833619199</v>
      </c>
      <c r="Q74" s="144">
        <f t="shared" si="7"/>
        <v>13.903369277943742</v>
      </c>
      <c r="R74" s="144">
        <f t="shared" si="14"/>
        <v>0</v>
      </c>
      <c r="S74" s="144">
        <f t="shared" si="15"/>
        <v>0</v>
      </c>
    </row>
    <row r="75" spans="10:19" ht="12.75">
      <c r="J75" s="144">
        <f t="shared" si="16"/>
        <v>25.118864315095923</v>
      </c>
      <c r="K75" s="146" t="str">
        <f t="shared" si="9"/>
        <v>157.826479197648i</v>
      </c>
      <c r="L75" s="144" t="str">
        <f t="shared" si="10"/>
        <v>0.30623167527675-4.39258159156306i</v>
      </c>
      <c r="M75" s="144" t="str">
        <f>IMPRODUCT(-1,IMPRODUCT(IMDIV(Fv_Co,K75),IMDIV(IMSUM(1,IMDIV(K75,Fv_fcz)),IMSUM(1,IMDIV(K75,Fv_fcp)))))</f>
        <v>-0.0383147825900704+0.0159304092172812i</v>
      </c>
      <c r="N75" s="144" t="str">
        <f t="shared" si="11"/>
        <v>0.0582424222134742+0.173179204592336i</v>
      </c>
      <c r="O75" s="144">
        <f t="shared" si="12"/>
        <v>-14.764718190827637</v>
      </c>
      <c r="P75" s="144">
        <f t="shared" si="13"/>
        <v>71.41153737596218</v>
      </c>
      <c r="Q75" s="144">
        <f t="shared" si="7"/>
        <v>14.764718190827637</v>
      </c>
      <c r="R75" s="144">
        <f t="shared" si="14"/>
        <v>0</v>
      </c>
      <c r="S75" s="144">
        <f t="shared" si="15"/>
        <v>0</v>
      </c>
    </row>
    <row r="76" spans="10:19" ht="12.75">
      <c r="J76" s="144">
        <f t="shared" si="16"/>
        <v>27.5422870333818</v>
      </c>
      <c r="K76" s="146" t="str">
        <f t="shared" si="9"/>
        <v>173.053293214267i</v>
      </c>
      <c r="L76" s="144" t="str">
        <f t="shared" si="10"/>
        <v>0.254919846151936-4.00934450359483i</v>
      </c>
      <c r="M76" s="144" t="str">
        <f>IMPRODUCT(-1,IMPRODUCT(IMDIV(Fv_Co,K76),IMDIV(IMSUM(1,IMDIV(K76,Fv_fcz)),IMSUM(1,IMDIV(K76,Fv_fcp)))))</f>
        <v>-0.0381194571470949+0.0156336506718156i</v>
      </c>
      <c r="N76" s="144" t="str">
        <f t="shared" si="11"/>
        <v>0.0529632852408327+0.156819363816776i</v>
      </c>
      <c r="O76" s="144">
        <f t="shared" si="12"/>
        <v>-15.622902936682749</v>
      </c>
      <c r="P76" s="144">
        <f t="shared" si="13"/>
        <v>71.33840810469509</v>
      </c>
      <c r="Q76" s="144">
        <f t="shared" si="7"/>
        <v>15.622902936682749</v>
      </c>
      <c r="R76" s="144">
        <f t="shared" si="14"/>
        <v>0</v>
      </c>
      <c r="S76" s="144">
        <f t="shared" si="15"/>
        <v>0</v>
      </c>
    </row>
    <row r="77" spans="10:19" ht="12.75">
      <c r="J77" s="144">
        <f t="shared" si="16"/>
        <v>30.199517204020314</v>
      </c>
      <c r="K77" s="146" t="str">
        <f t="shared" si="9"/>
        <v>189.749162780218i</v>
      </c>
      <c r="L77" s="144" t="str">
        <f t="shared" si="10"/>
        <v>0.212176815426929-3.65904418401434i</v>
      </c>
      <c r="M77" s="144" t="str">
        <f>IMPRODUCT(-1,IMPRODUCT(IMDIV(Fv_Co,K77),IMDIV(IMSUM(1,IMDIV(K77,Fv_fcz)),IMSUM(1,IMDIV(K77,Fv_fcp)))))</f>
        <v>-0.037887244710574+0.0154560876097774i</v>
      </c>
      <c r="N77" s="144" t="str">
        <f t="shared" si="11"/>
        <v>0.0485157125481817+0.141910525854556i</v>
      </c>
      <c r="O77" s="144">
        <f t="shared" si="12"/>
        <v>-16.47964747886309</v>
      </c>
      <c r="P77" s="144">
        <f t="shared" si="13"/>
        <v>71.12570565457783</v>
      </c>
      <c r="Q77" s="144">
        <f t="shared" si="7"/>
        <v>16.47964747886309</v>
      </c>
      <c r="R77" s="144">
        <f t="shared" si="14"/>
        <v>0</v>
      </c>
      <c r="S77" s="144">
        <f t="shared" si="15"/>
        <v>0</v>
      </c>
    </row>
    <row r="78" spans="10:19" ht="12.75">
      <c r="J78" s="144">
        <f t="shared" si="16"/>
        <v>33.113112148259276</v>
      </c>
      <c r="K78" s="146" t="str">
        <f t="shared" si="9"/>
        <v>208.055819724933i</v>
      </c>
      <c r="L78" s="144" t="str">
        <f t="shared" si="10"/>
        <v>0.176580543594851-3.33897045664835i</v>
      </c>
      <c r="M78" s="144" t="str">
        <f>IMPRODUCT(-1,IMPRODUCT(IMDIV(Fv_Co,K78),IMDIV(IMSUM(1,IMDIV(K78,Fv_fcz)),IMSUM(1,IMDIV(K78,Fv_fcp)))))</f>
        <v>-0.037611782087097+0.015392237129856i</v>
      </c>
      <c r="N78" s="144" t="str">
        <f t="shared" si="11"/>
        <v>0.0447527161118043+0.128302598810243i</v>
      </c>
      <c r="O78" s="144">
        <f t="shared" si="12"/>
        <v>-17.336656831127385</v>
      </c>
      <c r="P78" s="144">
        <f t="shared" si="13"/>
        <v>70.77092187782243</v>
      </c>
      <c r="Q78" s="144">
        <f t="shared" si="7"/>
        <v>17.336656831127385</v>
      </c>
      <c r="R78" s="144">
        <f t="shared" si="14"/>
        <v>0</v>
      </c>
      <c r="S78" s="144">
        <f t="shared" si="15"/>
        <v>0</v>
      </c>
    </row>
    <row r="79" spans="10:19" ht="12.75">
      <c r="J79" s="144">
        <f t="shared" si="16"/>
        <v>36.30780547701032</v>
      </c>
      <c r="K79" s="146" t="str">
        <f aca="true" t="shared" si="17" ref="K79:K110">COMPLEX(0,2*PI()*J79)</f>
        <v>228.128669909086i</v>
      </c>
      <c r="L79" s="144" t="str">
        <f aca="true" t="shared" si="18" ref="L79:L110">IMDIV(F2_Num,IMSUM(1,IMDIV(K79,F2_Dem)))</f>
        <v>0.146942245594942-3.04660674669091i</v>
      </c>
      <c r="M79" s="144" t="str">
        <f>IMPRODUCT(-1,IMPRODUCT(IMDIV(Fv_Co,K79),IMDIV(IMSUM(1,IMDIV(K79,Fv_fcz)),IMSUM(1,IMDIV(K79,Fv_fcp)))))</f>
        <v>-0.0372858599790836+0.0154364937299688i</v>
      </c>
      <c r="N79" s="144" t="str">
        <f aca="true" t="shared" si="19" ref="N79:N110">IMPRODUCT(L79,M79)</f>
        <v>0.0415500579487098+0.115863625621243i</v>
      </c>
      <c r="O79" s="144">
        <f aca="true" t="shared" si="20" ref="O79:O110">20*LOG10(IMABS(N79))</f>
        <v>-18.195648057153534</v>
      </c>
      <c r="P79" s="144">
        <f aca="true" t="shared" si="21" ref="P79:P110">(180/PI())*IMARGUMENT(N79)</f>
        <v>70.27156967336101</v>
      </c>
      <c r="Q79" s="144">
        <f t="shared" si="7"/>
        <v>18.195648057153534</v>
      </c>
      <c r="R79" s="144">
        <f aca="true" t="shared" si="22" ref="R79:R110">IF(Q79=Min_GL,J79,0)</f>
        <v>0</v>
      </c>
      <c r="S79" s="144">
        <f aca="true" t="shared" si="23" ref="S79:S110">IF(Q79=Min_GL,P79,0)</f>
        <v>0</v>
      </c>
    </row>
    <row r="80" spans="10:19" ht="12.75">
      <c r="J80" s="144">
        <f t="shared" si="16"/>
        <v>39.81071705534993</v>
      </c>
      <c r="K80" s="146" t="str">
        <f t="shared" si="17"/>
        <v>250.138112470458i</v>
      </c>
      <c r="L80" s="144" t="str">
        <f t="shared" si="18"/>
        <v>0.122268976860229-2.77962369412744i</v>
      </c>
      <c r="M80" s="144" t="str">
        <f>IMPRODUCT(-1,IMPRODUCT(IMDIV(Fv_Co,K80),IMDIV(IMSUM(1,IMDIV(K80,Fv_fcz)),IMSUM(1,IMDIV(K80,Fv_fcp)))))</f>
        <v>-0.0369014161076199+0.0155828275877576i</v>
      </c>
      <c r="N80" s="144" t="str">
        <f t="shared" si="19"/>
        <v>0.0388024983922615+0.104477346945341i</v>
      </c>
      <c r="O80" s="144">
        <f t="shared" si="20"/>
        <v>-19.05838196847966</v>
      </c>
      <c r="P80" s="144">
        <f t="shared" si="21"/>
        <v>69.62519047436878</v>
      </c>
      <c r="Q80" s="144">
        <f aca="true" t="shared" si="24" ref="Q80:Q90">ABS(O80)</f>
        <v>19.05838196847966</v>
      </c>
      <c r="R80" s="144">
        <f t="shared" si="22"/>
        <v>0</v>
      </c>
      <c r="S80" s="144">
        <f t="shared" si="23"/>
        <v>0</v>
      </c>
    </row>
    <row r="81" spans="10:19" ht="12.75">
      <c r="J81" s="144">
        <f t="shared" si="16"/>
        <v>43.651583224016825</v>
      </c>
      <c r="K81" s="146" t="str">
        <f t="shared" si="17"/>
        <v>274.270986348269i</v>
      </c>
      <c r="L81" s="144" t="str">
        <f t="shared" si="18"/>
        <v>0.101731957298776-2.53587082544977i</v>
      </c>
      <c r="M81" s="144" t="str">
        <f>IMPRODUCT(-1,IMPRODUCT(IMDIV(Fv_Co,K81),IMDIV(IMSUM(1,IMDIV(K81,Fv_fcz)),IMSUM(1,IMDIV(K81,Fv_fcp)))))</f>
        <v>-0.0364495796173243+0.015824442857433i</v>
      </c>
      <c r="N81" s="144" t="str">
        <f t="shared" si="19"/>
        <v>0.0364206558939734+0.0940412770965306i</v>
      </c>
      <c r="O81" s="144">
        <f t="shared" si="20"/>
        <v>-19.926693973193473</v>
      </c>
      <c r="P81" s="144">
        <f t="shared" si="21"/>
        <v>68.82942527202893</v>
      </c>
      <c r="Q81" s="144">
        <f t="shared" si="24"/>
        <v>19.926693973193473</v>
      </c>
      <c r="R81" s="144">
        <f t="shared" si="22"/>
        <v>0</v>
      </c>
      <c r="S81" s="144">
        <f t="shared" si="23"/>
        <v>0</v>
      </c>
    </row>
    <row r="82" spans="10:19" ht="12.75">
      <c r="J82" s="144">
        <f t="shared" si="16"/>
        <v>47.86300923226409</v>
      </c>
      <c r="K82" s="146" t="str">
        <f t="shared" si="17"/>
        <v>300.732156365563i</v>
      </c>
      <c r="L82" s="144" t="str">
        <f t="shared" si="18"/>
        <v>0.0846398364697858-2.31336703444172i</v>
      </c>
      <c r="M82" s="144" t="str">
        <f>IMPRODUCT(-1,IMPRODUCT(IMDIV(Fv_Co,K82),IMDIV(IMSUM(1,IMDIV(K82,Fv_fcz)),IMSUM(1,IMDIV(K82,Fv_fcp)))))</f>
        <v>-0.0359207885252035+0.0161534003620966i</v>
      </c>
      <c r="N82" s="144" t="str">
        <f t="shared" si="19"/>
        <v>0.0343284142251742+0.084465189190437i</v>
      </c>
      <c r="O82" s="144">
        <f t="shared" si="20"/>
        <v>-20.8025223935676</v>
      </c>
      <c r="P82" s="144">
        <f t="shared" si="21"/>
        <v>67.88214973813322</v>
      </c>
      <c r="Q82" s="144">
        <f t="shared" si="24"/>
        <v>20.8025223935676</v>
      </c>
      <c r="R82" s="144">
        <f t="shared" si="22"/>
        <v>0</v>
      </c>
      <c r="S82" s="144">
        <f t="shared" si="23"/>
        <v>0</v>
      </c>
    </row>
    <row r="83" spans="10:19" ht="12.75">
      <c r="J83" s="144">
        <f t="shared" si="16"/>
        <v>52.48074602497754</v>
      </c>
      <c r="K83" s="146" t="str">
        <f t="shared" si="17"/>
        <v>329.746252333962i</v>
      </c>
      <c r="L83" s="144" t="str">
        <f t="shared" si="18"/>
        <v>0.0704161865196667-2.11029042567614i</v>
      </c>
      <c r="M83" s="144" t="str">
        <f>IMPRODUCT(-1,IMPRODUCT(IMDIV(Fv_Co,K83),IMDIV(IMSUM(1,IMDIV(K83,Fv_fcz)),IMSUM(1,IMDIV(K83,Fv_fcp)))))</f>
        <v>-0.0353050052529464+0.0165602170503014i</v>
      </c>
      <c r="N83" s="144" t="str">
        <f t="shared" si="19"/>
        <v>0.0324608236534005+0.0756699218963588i</v>
      </c>
      <c r="O83" s="144">
        <f t="shared" si="20"/>
        <v>-21.68793228771274</v>
      </c>
      <c r="P83" s="144">
        <f t="shared" si="21"/>
        <v>66.78167350264339</v>
      </c>
      <c r="Q83" s="144">
        <f t="shared" si="24"/>
        <v>21.68793228771274</v>
      </c>
      <c r="R83" s="144">
        <f t="shared" si="22"/>
        <v>0</v>
      </c>
      <c r="S83" s="144">
        <f t="shared" si="23"/>
        <v>0</v>
      </c>
    </row>
    <row r="84" spans="10:19" ht="12.75">
      <c r="J84" s="144">
        <f t="shared" si="16"/>
        <v>57.54399373371601</v>
      </c>
      <c r="K84" s="146" t="str">
        <f t="shared" si="17"/>
        <v>361.559575944119i</v>
      </c>
      <c r="L84" s="144" t="str">
        <f t="shared" si="18"/>
        <v>0.0585805938558141-1.92496792297727i</v>
      </c>
      <c r="M84" s="144" t="str">
        <f>IMPRODUCT(-1,IMPRODUCT(IMDIV(Fv_Co,K84),IMDIV(IMSUM(1,IMDIV(K84,Fv_fcz)),IMSUM(1,IMDIV(K84,Fv_fcp)))))</f>
        <v>-0.0345920563497684+0.0170334657021925i</v>
      </c>
      <c r="N84" s="144" t="str">
        <f t="shared" si="19"/>
        <v>0.0307624518901908+0.0675864293993834i</v>
      </c>
      <c r="O84" s="144">
        <f t="shared" si="20"/>
        <v>-22.585132421427268</v>
      </c>
      <c r="P84" s="144">
        <f t="shared" si="21"/>
        <v>65.52700191549948</v>
      </c>
      <c r="Q84" s="144">
        <f t="shared" si="24"/>
        <v>22.585132421427268</v>
      </c>
      <c r="R84" s="144">
        <f t="shared" si="22"/>
        <v>0</v>
      </c>
      <c r="S84" s="144">
        <f t="shared" si="23"/>
        <v>0</v>
      </c>
    </row>
    <row r="85" spans="10:19" ht="12.75">
      <c r="J85" s="144">
        <f t="shared" si="16"/>
        <v>63.09573444801968</v>
      </c>
      <c r="K85" s="146" t="str">
        <f t="shared" si="17"/>
        <v>396.442191629502i</v>
      </c>
      <c r="L85" s="144" t="str">
        <f t="shared" si="18"/>
        <v>0.0487328014247775-1.75586492974983i</v>
      </c>
      <c r="M85" s="144" t="str">
        <f>IMPRODUCT(-1,IMPRODUCT(IMDIV(Fv_Co,K85),IMDIV(IMSUM(1,IMDIV(K85,Fv_fcz)),IMSUM(1,IMDIV(K85,Fv_fcp)))))</f>
        <v>-0.0337721194316349+0.01755941243397i</v>
      </c>
      <c r="N85" s="144" t="str">
        <f t="shared" si="19"/>
        <v>0.0291861464898653+0.0601549994726109i</v>
      </c>
      <c r="O85" s="144">
        <f t="shared" si="20"/>
        <v>-23.49648261870437</v>
      </c>
      <c r="P85" s="144">
        <f t="shared" si="21"/>
        <v>64.11815518090103</v>
      </c>
      <c r="Q85" s="144">
        <f t="shared" si="24"/>
        <v>23.49648261870437</v>
      </c>
      <c r="R85" s="144">
        <f t="shared" si="22"/>
        <v>0</v>
      </c>
      <c r="S85" s="144">
        <f t="shared" si="23"/>
        <v>0</v>
      </c>
    </row>
    <row r="86" spans="10:19" ht="12.75">
      <c r="J86" s="144">
        <f t="shared" si="16"/>
        <v>69.18309709189404</v>
      </c>
      <c r="K86" s="146" t="str">
        <f t="shared" si="17"/>
        <v>434.690219152967i</v>
      </c>
      <c r="L86" s="144" t="str">
        <f t="shared" si="18"/>
        <v>0.0405394282540352-1.60157524085844i</v>
      </c>
      <c r="M86" s="144" t="str">
        <f>IMPRODUCT(-1,IMPRODUCT(IMDIV(Fv_Co,K86),IMDIV(IMSUM(1,IMDIV(K86,Fv_fcz)),IMSUM(1,IMDIV(K86,Fv_fcp)))))</f>
        <v>-0.0328363707748557+0.018121745344975i</v>
      </c>
      <c r="N86" s="144" t="str">
        <f t="shared" si="19"/>
        <v>0.0276921709685035+0.0533245636279071i</v>
      </c>
      <c r="O86" s="144">
        <f t="shared" si="20"/>
        <v>-24.42448839244525</v>
      </c>
      <c r="P86" s="144">
        <f t="shared" si="21"/>
        <v>62.55653422670355</v>
      </c>
      <c r="Q86" s="144">
        <f t="shared" si="24"/>
        <v>24.42448839244525</v>
      </c>
      <c r="R86" s="144">
        <f t="shared" si="22"/>
        <v>0</v>
      </c>
      <c r="S86" s="144">
        <f t="shared" si="23"/>
        <v>0</v>
      </c>
    </row>
    <row r="87" spans="10:19" ht="12.75">
      <c r="J87" s="144">
        <f t="shared" si="16"/>
        <v>75.85775750291882</v>
      </c>
      <c r="K87" s="146" t="str">
        <f t="shared" si="17"/>
        <v>476.628347377932i</v>
      </c>
      <c r="L87" s="144" t="str">
        <f t="shared" si="18"/>
        <v>0.0337228603959428-1.46081134031876i</v>
      </c>
      <c r="M87" s="144" t="str">
        <f>IMPRODUCT(-1,IMPRODUCT(IMDIV(Fv_Co,K87),IMDIV(IMSUM(1,IMDIV(K87,Fv_fcz)),IMSUM(1,IMDIV(K87,Fv_fcp)))))</f>
        <v>-0.0317777886217816+0.0187014624113451i</v>
      </c>
      <c r="N87" s="144" t="str">
        <f t="shared" si="19"/>
        <v>0.0262476704416538+0.0470520207950488i</v>
      </c>
      <c r="O87" s="144">
        <f t="shared" si="20"/>
        <v>-25.371779686843556</v>
      </c>
      <c r="P87" s="144">
        <f t="shared" si="21"/>
        <v>60.84531497664651</v>
      </c>
      <c r="Q87" s="144">
        <f t="shared" si="24"/>
        <v>25.371779686843556</v>
      </c>
      <c r="R87" s="144">
        <f t="shared" si="22"/>
        <v>0</v>
      </c>
      <c r="S87" s="144">
        <f t="shared" si="23"/>
        <v>0</v>
      </c>
    </row>
    <row r="88" spans="10:19" ht="12.75">
      <c r="J88" s="144">
        <f t="shared" si="16"/>
        <v>83.17637711026758</v>
      </c>
      <c r="K88" s="146" t="str">
        <f t="shared" si="17"/>
        <v>522.612590563662i</v>
      </c>
      <c r="L88" s="144" t="str">
        <f t="shared" si="18"/>
        <v>0.0280519672270031-1.33239517041486i</v>
      </c>
      <c r="M88" s="144" t="str">
        <f>IMPRODUCT(-1,IMPRODUCT(IMDIV(Fv_Co,K88),IMDIV(IMSUM(1,IMDIV(K88,Fv_fcz)),IMSUM(1,IMDIV(K88,Fv_fcp)))))</f>
        <v>-0.0305920788292967+0.0192769957993128i</v>
      </c>
      <c r="N88" s="144" t="str">
        <f t="shared" si="19"/>
        <v>0.0248264081103866+0.041301495739503i</v>
      </c>
      <c r="O88" s="144">
        <f t="shared" si="20"/>
        <v>-26.34107095167405</v>
      </c>
      <c r="P88" s="144">
        <f t="shared" si="21"/>
        <v>58.989843255288044</v>
      </c>
      <c r="Q88" s="144">
        <f t="shared" si="24"/>
        <v>26.34107095167405</v>
      </c>
      <c r="R88" s="144">
        <f t="shared" si="22"/>
        <v>0</v>
      </c>
      <c r="S88" s="144">
        <f t="shared" si="23"/>
        <v>0</v>
      </c>
    </row>
    <row r="89" spans="10:19" ht="12.75">
      <c r="J89" s="144">
        <f t="shared" si="16"/>
        <v>91.20108393559151</v>
      </c>
      <c r="K89" s="146" t="str">
        <f t="shared" si="17"/>
        <v>573.033310582961i</v>
      </c>
      <c r="L89" s="144" t="str">
        <f t="shared" si="18"/>
        <v>0.0233343493828503-1.21524942204423i</v>
      </c>
      <c r="M89" s="144" t="str">
        <f>IMPRODUCT(-1,IMPRODUCT(IMDIV(Fv_Co,K89),IMDIV(IMSUM(1,IMDIV(K89,Fv_fcz)),IMSUM(1,IMDIV(K89,Fv_fcp)))))</f>
        <v>-0.0292786522051043+0.0198246468535121i</v>
      </c>
      <c r="N89" s="144" t="str">
        <f t="shared" si="19"/>
        <v>0.0234086923309487+0.0360434604065585i</v>
      </c>
      <c r="O89" s="144">
        <f t="shared" si="20"/>
        <v>-27.335100819840747</v>
      </c>
      <c r="P89" s="144">
        <f t="shared" si="21"/>
        <v>56.99799255210499</v>
      </c>
      <c r="Q89" s="144">
        <f t="shared" si="24"/>
        <v>27.335100819840747</v>
      </c>
      <c r="R89" s="144">
        <f t="shared" si="22"/>
        <v>0</v>
      </c>
      <c r="S89" s="144">
        <f t="shared" si="23"/>
        <v>0</v>
      </c>
    </row>
    <row r="90" spans="10:19" ht="12.75">
      <c r="J90" s="144">
        <f aca="true" t="shared" si="25" ref="J90:J133">10^(4/100)*J89</f>
        <v>100.0000000000006</v>
      </c>
      <c r="K90" s="146" t="str">
        <f t="shared" si="17"/>
        <v>628.318530717962i</v>
      </c>
      <c r="L90" s="144" t="str">
        <f t="shared" si="18"/>
        <v>0.0194098699292387-1.10838937004306i</v>
      </c>
      <c r="M90" s="144" t="str">
        <f>IMPRODUCT(-1,IMPRODUCT(IMDIV(Fv_Co,K90),IMDIV(IMSUM(1,IMDIV(K90,Fv_fcz)),IMSUM(1,IMDIV(K90,Fv_fcp)))))</f>
        <v>-0.0278415418822579+0.0203193844629091i</v>
      </c>
      <c r="N90" s="144" t="str">
        <f t="shared" si="19"/>
        <v>0.0219813890379425+0.0312536656773706i</v>
      </c>
      <c r="O90" s="144">
        <f t="shared" si="20"/>
        <v>-28.356551512785067</v>
      </c>
      <c r="P90" s="144">
        <f t="shared" si="21"/>
        <v>54.88043837405065</v>
      </c>
      <c r="Q90" s="144">
        <f t="shared" si="24"/>
        <v>28.356551512785067</v>
      </c>
      <c r="R90" s="144">
        <f t="shared" si="22"/>
        <v>0</v>
      </c>
      <c r="S90" s="144">
        <f t="shared" si="23"/>
        <v>0</v>
      </c>
    </row>
    <row r="91" spans="10:19" ht="12.75">
      <c r="J91" s="144">
        <f t="shared" si="25"/>
        <v>109.64781961431916</v>
      </c>
      <c r="K91" s="146" t="str">
        <f t="shared" si="17"/>
        <v>688.937569164968i</v>
      </c>
      <c r="L91" s="144" t="str">
        <f t="shared" si="18"/>
        <v>0.0161452593154168-1.01091525858175i</v>
      </c>
      <c r="M91" s="144" t="str">
        <f>IMPRODUCT(-1,IMPRODUCT(IMDIV(Fv_Co,K91),IMDIV(IMSUM(1,IMDIV(K91,Fv_fcz)),IMSUM(1,IMDIV(K91,Fv_fcp)))))</f>
        <v>-0.0262901143199768+0.0207360149208898i</v>
      </c>
      <c r="N91" s="144" t="str">
        <f t="shared" si="19"/>
        <v>0.0205378931725784+0.0269118660539892i</v>
      </c>
      <c r="O91" s="144">
        <f t="shared" si="20"/>
        <v>-29.407950739010143</v>
      </c>
      <c r="P91" s="144">
        <f t="shared" si="21"/>
        <v>52.65079877575111</v>
      </c>
      <c r="Q91" s="144">
        <f>ABS(O91)</f>
        <v>29.407950739010143</v>
      </c>
      <c r="R91" s="144">
        <f t="shared" si="22"/>
        <v>0</v>
      </c>
      <c r="S91" s="144">
        <f t="shared" si="23"/>
        <v>0</v>
      </c>
    </row>
    <row r="92" spans="10:19" ht="12.75">
      <c r="J92" s="144">
        <f t="shared" si="25"/>
        <v>120.22644346174202</v>
      </c>
      <c r="K92" s="146" t="str">
        <f t="shared" si="17"/>
        <v>755.405023093275i</v>
      </c>
      <c r="L92" s="144" t="str">
        <f t="shared" si="18"/>
        <v>0.0134296179201723-0.922005228615634i</v>
      </c>
      <c r="M92" s="144" t="str">
        <f>IMPRODUCT(-1,IMPRODUCT(IMDIV(Fv_Co,K92),IMDIV(IMSUM(1,IMDIV(K92,Fv_fcz)),IMSUM(1,IMDIV(K92,Fv_fcp)))))</f>
        <v>-0.0246394127213689+0.0210506651646307i</v>
      </c>
      <c r="N92" s="144" t="str">
        <f t="shared" si="19"/>
        <v>0.0190779254490011+0.0230003697492472i</v>
      </c>
      <c r="O92" s="144">
        <f t="shared" si="20"/>
        <v>-30.49156201861465</v>
      </c>
      <c r="P92" s="144">
        <f t="shared" si="21"/>
        <v>50.32559396720034</v>
      </c>
      <c r="Q92" s="144">
        <f aca="true" t="shared" si="26" ref="Q92:Q115">ABS(O92)</f>
        <v>30.49156201861465</v>
      </c>
      <c r="R92" s="144">
        <f t="shared" si="22"/>
        <v>0</v>
      </c>
      <c r="S92" s="144">
        <f t="shared" si="23"/>
        <v>0</v>
      </c>
    </row>
    <row r="93" spans="10:19" ht="12.75">
      <c r="J93" s="144">
        <f t="shared" si="25"/>
        <v>131.82567385564153</v>
      </c>
      <c r="K93" s="146" t="str">
        <f t="shared" si="17"/>
        <v>828.285137078815i</v>
      </c>
      <c r="L93" s="144" t="str">
        <f t="shared" si="18"/>
        <v>0.0111706682731041-0.840908770424549i</v>
      </c>
      <c r="M93" s="144" t="str">
        <f>IMPRODUCT(-1,IMPRODUCT(IMDIV(Fv_Co,K93),IMDIV(IMSUM(1,IMDIV(K93,Fv_fcz)),IMSUM(1,IMDIV(K93,Fv_fcp)))))</f>
        <v>-0.0229099906057133+0.0212424436426838i</v>
      </c>
      <c r="N93" s="144" t="str">
        <f t="shared" si="19"/>
        <v>0.0176070372591857+0.0195025043219309i</v>
      </c>
      <c r="O93" s="144">
        <f t="shared" si="20"/>
        <v>-31.609272511557975</v>
      </c>
      <c r="P93" s="144">
        <f t="shared" si="21"/>
        <v>47.923990996736514</v>
      </c>
      <c r="Q93" s="144">
        <f t="shared" si="26"/>
        <v>31.609272511557975</v>
      </c>
      <c r="R93" s="144">
        <f t="shared" si="22"/>
        <v>0</v>
      </c>
      <c r="S93" s="144">
        <f t="shared" si="23"/>
        <v>0</v>
      </c>
    </row>
    <row r="94" spans="10:19" ht="12.75">
      <c r="J94" s="144">
        <f t="shared" si="25"/>
        <v>144.54397707459367</v>
      </c>
      <c r="K94" s="146" t="str">
        <f t="shared" si="17"/>
        <v>908.19659299639i</v>
      </c>
      <c r="L94" s="144" t="str">
        <f t="shared" si="18"/>
        <v>0.00929163296935136-0.766940678408643i</v>
      </c>
      <c r="M94" s="144" t="str">
        <f>IMPRODUCT(-1,IMPRODUCT(IMDIV(Fv_Co,K94),IMDIV(IMSUM(1,IMDIV(K94,Fv_fcz)),IMSUM(1,IMDIV(K94,Fv_fcp)))))</f>
        <v>-0.0211271535776551+0.0212950734415986i</v>
      </c>
      <c r="N94" s="144" t="str">
        <f t="shared" si="19"/>
        <v>0.0161357523153308+0.0164011395041651i</v>
      </c>
      <c r="O94" s="144">
        <f t="shared" si="20"/>
        <v>-32.7624897696449</v>
      </c>
      <c r="P94" s="144">
        <f t="shared" si="21"/>
        <v>45.467322716430886</v>
      </c>
      <c r="Q94" s="144">
        <f t="shared" si="26"/>
        <v>32.7624897696449</v>
      </c>
      <c r="R94" s="144">
        <f t="shared" si="22"/>
        <v>0</v>
      </c>
      <c r="S94" s="144">
        <f t="shared" si="23"/>
        <v>0</v>
      </c>
    </row>
    <row r="95" spans="10:19" ht="12.75">
      <c r="J95" s="144">
        <f t="shared" si="25"/>
        <v>158.48931924611236</v>
      </c>
      <c r="K95" s="146" t="str">
        <f t="shared" si="17"/>
        <v>995.817762032068i</v>
      </c>
      <c r="L95" s="144" t="str">
        <f t="shared" si="18"/>
        <v>0.00772863449618424-0.69947548171205i</v>
      </c>
      <c r="M95" s="144" t="str">
        <f>IMPRODUCT(-1,IMPRODUCT(IMDIV(Fv_Co,K95),IMDIV(IMSUM(1,IMDIV(K95,Fv_fcz)),IMSUM(1,IMDIV(K95,Fv_fcp)))))</f>
        <v>-0.0193196240319969+0.0211982548989073i</v>
      </c>
      <c r="N95" s="144" t="str">
        <f t="shared" si="19"/>
        <v>0.014678345244121+0.0136774368903473i</v>
      </c>
      <c r="O95" s="144">
        <f t="shared" si="20"/>
        <v>-33.9520595558912</v>
      </c>
      <c r="P95" s="144">
        <f t="shared" si="21"/>
        <v>42.97840087426453</v>
      </c>
      <c r="Q95" s="144">
        <f t="shared" si="26"/>
        <v>33.9520595558912</v>
      </c>
      <c r="R95" s="144">
        <f t="shared" si="22"/>
        <v>0</v>
      </c>
      <c r="S95" s="144">
        <f t="shared" si="23"/>
        <v>0</v>
      </c>
    </row>
    <row r="96" spans="10:19" ht="12.75">
      <c r="J96" s="144">
        <f t="shared" si="25"/>
        <v>173.78008287493867</v>
      </c>
      <c r="K96" s="146" t="str">
        <f t="shared" si="17"/>
        <v>1091.89246340027i</v>
      </c>
      <c r="L96" s="144" t="str">
        <f t="shared" si="18"/>
        <v>0.00642853019372034-0.637942322306409i</v>
      </c>
      <c r="M96" s="144" t="str">
        <f>IMPRODUCT(-1,IMPRODUCT(IMDIV(Fv_Co,K96),IMDIV(IMSUM(1,IMDIV(K96,Fv_fcz)),IMSUM(1,IMDIV(K96,Fv_fcp)))))</f>
        <v>-0.0175177563451505+0.0209485296705646i</v>
      </c>
      <c r="N96" s="144" t="str">
        <f t="shared" si="19"/>
        <v>0.0132513402413537+0.0113099864199244i</v>
      </c>
      <c r="O96" s="144">
        <f t="shared" si="20"/>
        <v>-35.17821542119546</v>
      </c>
      <c r="P96" s="144">
        <f t="shared" si="21"/>
        <v>40.48067547782434</v>
      </c>
      <c r="Q96" s="144">
        <f t="shared" si="26"/>
        <v>35.17821542119546</v>
      </c>
      <c r="R96" s="144">
        <f t="shared" si="22"/>
        <v>0</v>
      </c>
      <c r="S96" s="144">
        <f t="shared" si="23"/>
        <v>0</v>
      </c>
    </row>
    <row r="97" spans="10:19" ht="12.75">
      <c r="J97" s="144">
        <f t="shared" si="25"/>
        <v>190.54607179632598</v>
      </c>
      <c r="K97" s="146" t="str">
        <f t="shared" si="17"/>
        <v>1197.23627865146i</v>
      </c>
      <c r="L97" s="144" t="str">
        <f t="shared" si="18"/>
        <v>0.00534710985532952-0.581820251418047i</v>
      </c>
      <c r="M97" s="144" t="str">
        <f>IMPRODUCT(-1,IMPRODUCT(IMDIV(Fv_Co,K97),IMDIV(IMSUM(1,IMDIV(K97,Fv_fcz)),IMSUM(1,IMDIV(K97,Fv_fcp)))))</f>
        <v>-0.0157515277593893+0.0205494905489023i</v>
      </c>
      <c r="N97" s="144" t="str">
        <f t="shared" si="19"/>
        <v>0.0118718846083564+0.00927443822462227i</v>
      </c>
      <c r="O97" s="144">
        <f t="shared" si="20"/>
        <v>-36.440567076701086</v>
      </c>
      <c r="P97" s="144">
        <f t="shared" si="21"/>
        <v>37.997318967740114</v>
      </c>
      <c r="Q97" s="144">
        <f t="shared" si="26"/>
        <v>36.440567076701086</v>
      </c>
      <c r="R97" s="144">
        <f t="shared" si="22"/>
        <v>0</v>
      </c>
      <c r="S97" s="144">
        <f t="shared" si="23"/>
        <v>0</v>
      </c>
    </row>
    <row r="98" spans="10:19" ht="12.75">
      <c r="J98" s="144">
        <f t="shared" si="25"/>
        <v>208.92961308540535</v>
      </c>
      <c r="K98" s="146" t="str">
        <f t="shared" si="17"/>
        <v>1312.74347517293i</v>
      </c>
      <c r="L98" s="144" t="str">
        <f t="shared" si="18"/>
        <v>0.0044475954507248-0.530633915277994i</v>
      </c>
      <c r="M98" s="144" t="str">
        <f>IMPRODUCT(-1,IMPRODUCT(IMDIV(Fv_Co,K98),IMDIV(IMSUM(1,IMDIV(K98,Fv_fcz)),IMSUM(1,IMDIV(K98,Fv_fcp)))))</f>
        <v>-0.01404858163894+0.0200112965611165i</v>
      </c>
      <c r="N98" s="144" t="str">
        <f t="shared" si="19"/>
        <v>0.0105561902362278+0.0075436560307216i</v>
      </c>
      <c r="O98" s="144">
        <f t="shared" si="20"/>
        <v>-37.73812938724271</v>
      </c>
      <c r="P98" s="144">
        <f t="shared" si="21"/>
        <v>35.55032725738582</v>
      </c>
      <c r="Q98" s="144">
        <f t="shared" si="26"/>
        <v>37.73812938724271</v>
      </c>
      <c r="R98" s="144">
        <f t="shared" si="22"/>
        <v>0</v>
      </c>
      <c r="S98" s="144">
        <f t="shared" si="23"/>
        <v>0</v>
      </c>
    </row>
    <row r="99" spans="10:19" ht="12.75">
      <c r="J99" s="144">
        <f t="shared" si="25"/>
        <v>229.08676527677886</v>
      </c>
      <c r="K99" s="146" t="str">
        <f t="shared" si="17"/>
        <v>1439.39459765636i</v>
      </c>
      <c r="L99" s="144" t="str">
        <f t="shared" si="18"/>
        <v>0.00369939248441561-0.483949601853221i</v>
      </c>
      <c r="M99" s="144" t="str">
        <f>IMPRODUCT(-1,IMPRODUCT(IMDIV(Fv_Co,K99),IMDIV(IMSUM(1,IMDIV(K99,Fv_fcz)),IMSUM(1,IMDIV(K99,Fv_fcp)))))</f>
        <v>-0.0124325876060811+0.0193495796550676i</v>
      </c>
      <c r="N99" s="144" t="str">
        <f t="shared" si="19"/>
        <v>0.00931822834894537+0.0060883275115208i</v>
      </c>
      <c r="O99" s="144">
        <f t="shared" si="20"/>
        <v>-39.069388186899204</v>
      </c>
      <c r="P99" s="144">
        <f t="shared" si="21"/>
        <v>33.15972655385666</v>
      </c>
      <c r="Q99" s="144">
        <f t="shared" si="26"/>
        <v>39.069388186899204</v>
      </c>
      <c r="R99" s="144">
        <f t="shared" si="22"/>
        <v>0</v>
      </c>
      <c r="S99" s="144">
        <f t="shared" si="23"/>
        <v>0</v>
      </c>
    </row>
    <row r="100" spans="10:19" ht="12.75">
      <c r="J100" s="144">
        <f t="shared" si="25"/>
        <v>251.18864315095973</v>
      </c>
      <c r="K100" s="146" t="str">
        <f t="shared" si="17"/>
        <v>1578.26479197649i</v>
      </c>
      <c r="L100" s="144" t="str">
        <f t="shared" si="18"/>
        <v>0.00307705089111861-0.441371621286906i</v>
      </c>
      <c r="M100" s="144" t="str">
        <f>IMPRODUCT(-1,IMPRODUCT(IMDIV(Fv_Co,K100),IMDIV(IMSUM(1,IMDIV(K100,Fv_fcz)),IMSUM(1,IMDIV(K100,Fv_fcp)))))</f>
        <v>-0.0109221114409026+0.0185839315563827i</v>
      </c>
      <c r="N100" s="144" t="str">
        <f t="shared" si="19"/>
        <v>0.0081688121081834+0.0048778937377035i</v>
      </c>
      <c r="O100" s="144">
        <f t="shared" si="20"/>
        <v>-40.432394372844854</v>
      </c>
      <c r="P100" s="144">
        <f t="shared" si="21"/>
        <v>30.84295597779414</v>
      </c>
      <c r="Q100" s="144">
        <f t="shared" si="26"/>
        <v>40.432394372844854</v>
      </c>
      <c r="R100" s="144">
        <f t="shared" si="22"/>
        <v>0</v>
      </c>
      <c r="S100" s="144">
        <f t="shared" si="23"/>
        <v>0</v>
      </c>
    </row>
    <row r="101" spans="10:19" ht="12.75">
      <c r="J101" s="144">
        <f t="shared" si="25"/>
        <v>275.42287033381854</v>
      </c>
      <c r="K101" s="146" t="str">
        <f t="shared" si="17"/>
        <v>1730.53293214268i</v>
      </c>
      <c r="L101" s="144" t="str">
        <f t="shared" si="18"/>
        <v>0.00255940037960037-0.402538994093588i</v>
      </c>
      <c r="M101" s="144" t="str">
        <f>IMPRODUCT(-1,IMPRODUCT(IMDIV(Fv_Co,K101),IMDIV(IMSUM(1,IMDIV(K101,Fv_fcz)),IMSUM(1,IMDIV(K101,Fv_fcp)))))</f>
        <v>-0.00953008041870619+0.0177362109556339i</v>
      </c>
      <c r="N101" s="144" t="str">
        <f t="shared" si="19"/>
        <v>0.00711512522567129+0.00388162305042951i</v>
      </c>
      <c r="O101" s="144">
        <f t="shared" si="20"/>
        <v>-41.82487486153938</v>
      </c>
      <c r="P101" s="144">
        <f t="shared" si="21"/>
        <v>28.614466575065443</v>
      </c>
      <c r="Q101" s="144">
        <f t="shared" si="26"/>
        <v>41.82487486153938</v>
      </c>
      <c r="R101" s="144">
        <f t="shared" si="22"/>
        <v>0</v>
      </c>
      <c r="S101" s="144">
        <f t="shared" si="23"/>
        <v>0</v>
      </c>
    </row>
    <row r="102" spans="10:19" ht="12.75">
      <c r="J102" s="144">
        <f t="shared" si="25"/>
        <v>301.9951720402037</v>
      </c>
      <c r="K102" s="146" t="str">
        <f t="shared" si="17"/>
        <v>1897.49162780218i</v>
      </c>
      <c r="L102" s="144" t="str">
        <f t="shared" si="18"/>
        <v>0.00212883098933551-0.367122422617385i</v>
      </c>
      <c r="M102" s="144" t="str">
        <f>IMPRODUCT(-1,IMPRODUCT(IMDIV(Fv_Co,K102),IMDIV(IMSUM(1,IMDIV(K102,Fv_fcz)),IMSUM(1,IMDIV(K102,Fv_fcp)))))</f>
        <v>-0.00826381967723198+0.0168289049749332i</v>
      </c>
      <c r="N102" s="144" t="str">
        <f t="shared" si="19"/>
        <v>0.00616067608897607+0.00306965939440584i</v>
      </c>
      <c r="O102" s="144">
        <f t="shared" si="20"/>
        <v>-43.24434838631433</v>
      </c>
      <c r="P102" s="144">
        <f t="shared" si="21"/>
        <v>26.48554487757103</v>
      </c>
      <c r="Q102" s="144">
        <f t="shared" si="26"/>
        <v>43.24434838631433</v>
      </c>
      <c r="R102" s="144">
        <f t="shared" si="22"/>
        <v>0</v>
      </c>
      <c r="S102" s="144">
        <f t="shared" si="23"/>
        <v>0</v>
      </c>
    </row>
    <row r="103" spans="10:19" ht="12.75">
      <c r="J103" s="144">
        <f t="shared" si="25"/>
        <v>331.1311214825934</v>
      </c>
      <c r="K103" s="146" t="str">
        <f t="shared" si="17"/>
        <v>2080.55819724933i</v>
      </c>
      <c r="L103" s="144" t="str">
        <f t="shared" si="18"/>
        <v>0.0017706945080711-0.334821522792687i</v>
      </c>
      <c r="M103" s="144" t="str">
        <f>IMPRODUCT(-1,IMPRODUCT(IMDIV(Fv_Co,K103),IMDIV(IMSUM(1,IMDIV(K103,Fv_fcz)),IMSUM(1,IMDIV(K103,Fv_fcp)))))</f>
        <v>-0.00712555044698335+0.0158837267186321i</v>
      </c>
      <c r="N103" s="144" t="str">
        <f t="shared" si="19"/>
        <v>0.00530559639451183+0.00241391287906346i</v>
      </c>
      <c r="O103" s="144">
        <f t="shared" si="20"/>
        <v>-44.68823553161059</v>
      </c>
      <c r="P103" s="144">
        <f t="shared" si="21"/>
        <v>24.464340864363784</v>
      </c>
      <c r="Q103" s="144">
        <f t="shared" si="26"/>
        <v>44.68823553161059</v>
      </c>
      <c r="R103" s="144">
        <f t="shared" si="22"/>
        <v>0</v>
      </c>
      <c r="S103" s="144">
        <f t="shared" si="23"/>
        <v>0</v>
      </c>
    </row>
    <row r="104" spans="10:19" ht="12.75">
      <c r="J104" s="144">
        <f t="shared" si="25"/>
        <v>363.0780547701039</v>
      </c>
      <c r="K104" s="146" t="str">
        <f t="shared" si="17"/>
        <v>2281.28669909086i</v>
      </c>
      <c r="L104" s="144" t="str">
        <f t="shared" si="18"/>
        <v>0.00147280647119083-0.305362294793628i</v>
      </c>
      <c r="M104" s="144" t="str">
        <f>IMPRODUCT(-1,IMPRODUCT(IMDIV(Fv_Co,K104),IMDIV(IMSUM(1,IMDIV(K104,Fv_fcz)),IMSUM(1,IMDIV(K104,Fv_fcp)))))</f>
        <v>-0.00611319622099478+0.0149205553876065i</v>
      </c>
      <c r="N104" s="144" t="str">
        <f t="shared" si="19"/>
        <v>0.00454717147780101+0.00188871471709533i</v>
      </c>
      <c r="O104" s="144">
        <f t="shared" si="20"/>
        <v>-46.15395514517226</v>
      </c>
      <c r="P104" s="144">
        <f t="shared" si="21"/>
        <v>22.556060700097643</v>
      </c>
      <c r="Q104" s="144">
        <f t="shared" si="26"/>
        <v>46.15395514517226</v>
      </c>
      <c r="R104" s="144">
        <f t="shared" si="22"/>
        <v>0</v>
      </c>
      <c r="S104" s="144">
        <f t="shared" si="23"/>
        <v>0</v>
      </c>
    </row>
    <row r="105" spans="10:19" ht="12.75">
      <c r="J105" s="144">
        <f t="shared" si="25"/>
        <v>398.1071705535001</v>
      </c>
      <c r="K105" s="146" t="str">
        <f t="shared" si="17"/>
        <v>2501.38112470459i</v>
      </c>
      <c r="L105" s="144" t="str">
        <f t="shared" si="18"/>
        <v>0.0012250318587954-0.278494812683453i</v>
      </c>
      <c r="M105" s="144" t="str">
        <f>IMPRODUCT(-1,IMPRODUCT(IMDIV(Fv_Co,K105),IMDIV(IMSUM(1,IMDIV(K105,Fv_fcz)),IMSUM(1,IMDIV(K105,Fv_fcp)))))</f>
        <v>-0.00522133787899682+0.0139567502033565i</v>
      </c>
      <c r="N105" s="144" t="str">
        <f t="shared" si="19"/>
        <v>0.00388048622830621+0.0014712129782126i</v>
      </c>
      <c r="O105" s="144">
        <f t="shared" si="20"/>
        <v>-47.63900251154391</v>
      </c>
      <c r="P105" s="144">
        <f t="shared" si="21"/>
        <v>20.763275489875465</v>
      </c>
      <c r="Q105" s="144">
        <f t="shared" si="26"/>
        <v>47.63900251154391</v>
      </c>
      <c r="R105" s="144">
        <f t="shared" si="22"/>
        <v>0</v>
      </c>
      <c r="S105" s="144">
        <f t="shared" si="23"/>
        <v>0</v>
      </c>
    </row>
    <row r="106" spans="10:19" ht="12.75">
      <c r="J106" s="144">
        <f t="shared" si="25"/>
        <v>436.5158322401691</v>
      </c>
      <c r="K106" s="146" t="str">
        <f t="shared" si="17"/>
        <v>2742.7098634827i</v>
      </c>
      <c r="L106" s="144" t="str">
        <f t="shared" si="18"/>
        <v>0.00101894043540158-0.253991114652138i</v>
      </c>
      <c r="M106" s="144" t="str">
        <f>IMPRODUCT(-1,IMPRODUCT(IMDIV(Fv_Co,K106),IMDIV(IMSUM(1,IMDIV(K106,Fv_fcz)),IMSUM(1,IMDIV(K106,Fv_fcp)))))</f>
        <v>-0.00444218270372272+0.0130068104974564i</v>
      </c>
      <c r="N106" s="144" t="str">
        <f t="shared" si="19"/>
        <v>0.00329908797673982+0.00114152810155845i</v>
      </c>
      <c r="O106" s="144">
        <f t="shared" si="20"/>
        <v>-49.14100769736329</v>
      </c>
      <c r="P106" s="144">
        <f t="shared" si="21"/>
        <v>19.086297282053817</v>
      </c>
      <c r="Q106" s="144">
        <f t="shared" si="26"/>
        <v>49.14100769736329</v>
      </c>
      <c r="R106" s="144">
        <f t="shared" si="22"/>
        <v>0</v>
      </c>
      <c r="S106" s="144">
        <f t="shared" si="23"/>
        <v>0</v>
      </c>
    </row>
    <row r="107" spans="10:19" ht="12.75">
      <c r="J107" s="144">
        <f t="shared" si="25"/>
        <v>478.6300923226418</v>
      </c>
      <c r="K107" s="146" t="str">
        <f t="shared" si="17"/>
        <v>3007.32156365563i</v>
      </c>
      <c r="L107" s="144" t="str">
        <f t="shared" si="18"/>
        <v>0.000847520033763508-0.231643276843679i</v>
      </c>
      <c r="M107" s="144" t="str">
        <f>IMPRODUCT(-1,IMPRODUCT(IMDIV(Fv_Co,K107),IMDIV(IMSUM(1,IMDIV(K107,Fv_fcz)),IMSUM(1,IMDIV(K107,Fv_fcp)))))</f>
        <v>-0.00376645075174675+0.012082318492549i</v>
      </c>
      <c r="N107" s="144" t="str">
        <f t="shared" si="19"/>
        <v>0.00279559570501474+0.000882713001181702i</v>
      </c>
      <c r="O107" s="144">
        <f t="shared" si="20"/>
        <v>-50.65777484681338</v>
      </c>
      <c r="P107" s="144">
        <f t="shared" si="21"/>
        <v>17.52357992518861</v>
      </c>
      <c r="Q107" s="144">
        <f t="shared" si="26"/>
        <v>50.65777484681338</v>
      </c>
      <c r="R107" s="144">
        <f t="shared" si="22"/>
        <v>0</v>
      </c>
      <c r="S107" s="144">
        <f t="shared" si="23"/>
        <v>0</v>
      </c>
    </row>
    <row r="108" spans="10:19" ht="12.75">
      <c r="J108" s="144">
        <f t="shared" si="25"/>
        <v>524.8074602497765</v>
      </c>
      <c r="K108" s="146" t="str">
        <f t="shared" si="17"/>
        <v>3297.46252333963i</v>
      </c>
      <c r="L108" s="144" t="str">
        <f t="shared" si="18"/>
        <v>0.000704938046910137-0.211261655113036i</v>
      </c>
      <c r="M108" s="144" t="str">
        <f>IMPRODUCT(-1,IMPRODUCT(IMDIV(Fv_Co,K108),IMDIV(IMSUM(1,IMDIV(K108,Fv_fcz)),IMSUM(1,IMDIV(K108,Fv_fcp)))))</f>
        <v>-0.00318412256193141+0.0111920873489032i</v>
      </c>
      <c r="N108" s="144" t="str">
        <f t="shared" si="19"/>
        <v>0.00236221428835903+0.000680572730712974i</v>
      </c>
      <c r="O108" s="144">
        <f t="shared" si="20"/>
        <v>-52.18730475142613</v>
      </c>
      <c r="P108" s="144">
        <f t="shared" si="21"/>
        <v>16.072112055577673</v>
      </c>
      <c r="Q108" s="144">
        <f t="shared" si="26"/>
        <v>52.18730475142613</v>
      </c>
      <c r="R108" s="144">
        <f t="shared" si="22"/>
        <v>0</v>
      </c>
      <c r="S108" s="144">
        <f t="shared" si="23"/>
        <v>0</v>
      </c>
    </row>
    <row r="109" spans="10:19" ht="12.75">
      <c r="J109" s="144">
        <f t="shared" si="25"/>
        <v>575.4399373371612</v>
      </c>
      <c r="K109" s="146" t="str">
        <f t="shared" si="17"/>
        <v>3615.59575944119i</v>
      </c>
      <c r="L109" s="144" t="str">
        <f t="shared" si="18"/>
        <v>0.000586343026606943-0.19267328031154i</v>
      </c>
      <c r="M109" s="144" t="str">
        <f>IMPRODUCT(-1,IMPRODUCT(IMDIV(Fv_Co,K109),IMDIV(IMSUM(1,IMDIV(K109,Fv_fcz)),IMSUM(1,IMDIV(K109,Fv_fcp)))))</f>
        <v>-0.00268502654425102+0.0103424393609097i</v>
      </c>
      <c r="N109" s="144" t="str">
        <f t="shared" si="19"/>
        <v>0.00199113737149918+0.000523397089201777i</v>
      </c>
      <c r="O109" s="144">
        <f t="shared" si="20"/>
        <v>-53.72780379288442</v>
      </c>
      <c r="P109" s="144">
        <f t="shared" si="21"/>
        <v>14.72777986870439</v>
      </c>
      <c r="Q109" s="144">
        <f t="shared" si="26"/>
        <v>53.72780379288442</v>
      </c>
      <c r="R109" s="144">
        <f t="shared" si="22"/>
        <v>0</v>
      </c>
      <c r="S109" s="144">
        <f t="shared" si="23"/>
        <v>0</v>
      </c>
    </row>
    <row r="110" spans="10:19" ht="12.75">
      <c r="J110" s="144">
        <f t="shared" si="25"/>
        <v>630.9573444801979</v>
      </c>
      <c r="K110" s="146" t="str">
        <f t="shared" si="17"/>
        <v>3964.42191629503i</v>
      </c>
      <c r="L110" s="144" t="str">
        <f t="shared" si="18"/>
        <v>0.000487699646821432-0.175720393876176i</v>
      </c>
      <c r="M110" s="144" t="str">
        <f>IMPRODUCT(-1,IMPRODUCT(IMDIV(Fv_Co,K110),IMDIV(IMSUM(1,IMDIV(K110,Fv_fcz)),IMSUM(1,IMDIV(K110,Fv_fcp)))))</f>
        <v>-0.0022592690663069+0.0095375510100104i</v>
      </c>
      <c r="N110" s="144" t="str">
        <f t="shared" si="19"/>
        <v>0.00167484037536744+0.000401651110462832i</v>
      </c>
      <c r="O110" s="144">
        <f t="shared" si="20"/>
        <v>-55.27768252883456</v>
      </c>
      <c r="P110" s="144">
        <f t="shared" si="21"/>
        <v>13.485686683332547</v>
      </c>
      <c r="Q110" s="144">
        <f t="shared" si="26"/>
        <v>55.27768252883456</v>
      </c>
      <c r="R110" s="144">
        <f t="shared" si="22"/>
        <v>0</v>
      </c>
      <c r="S110" s="144">
        <f t="shared" si="23"/>
        <v>0</v>
      </c>
    </row>
    <row r="111" spans="10:19" ht="12.75">
      <c r="J111" s="144">
        <f t="shared" si="25"/>
        <v>691.8309709189416</v>
      </c>
      <c r="K111" s="146" t="str">
        <f aca="true" t="shared" si="27" ref="K111:K140">COMPLEX(0,2*PI()*J111)</f>
        <v>4346.90219152968i</v>
      </c>
      <c r="L111" s="144" t="str">
        <f aca="true" t="shared" si="28" ref="L111:L140">IMDIV(F2_Num,IMSUM(1,IMDIV(K111,F2_Dem)))</f>
        <v>0.000405651423095654-0.160259111593249i</v>
      </c>
      <c r="M111" s="144" t="str">
        <f>IMPRODUCT(-1,IMPRODUCT(IMDIV(Fv_Co,K111),IMDIV(IMSUM(1,IMDIV(K111,Fv_fcz)),IMSUM(1,IMDIV(K111,Fv_fcp)))))</f>
        <v>-0.00189752514590933+0.00877981714173213i</v>
      </c>
      <c r="N111" s="144" t="str">
        <f aca="true" t="shared" si="29" ref="N111:N140">IMPRODUCT(L111,M111)</f>
        <v>0.00140627596130937+0.000307657239427343i</v>
      </c>
      <c r="O111" s="144">
        <f aca="true" t="shared" si="30" ref="O111:O140">20*LOG10(IMABS(N111))</f>
        <v>-56.83554696253645</v>
      </c>
      <c r="P111" s="144">
        <f aca="true" t="shared" si="31" ref="P111:P140">(180/PI())*IMARGUMENT(N111)</f>
        <v>12.340423769693048</v>
      </c>
      <c r="Q111" s="144">
        <f t="shared" si="26"/>
        <v>56.83554696253645</v>
      </c>
      <c r="R111" s="144">
        <f aca="true" t="shared" si="32" ref="R111:R140">IF(Q111=Min_GL,J111,0)</f>
        <v>0</v>
      </c>
      <c r="S111" s="144">
        <f aca="true" t="shared" si="33" ref="S111:S140">IF(Q111=Min_GL,P111,0)</f>
        <v>0</v>
      </c>
    </row>
    <row r="112" spans="10:19" ht="12.75">
      <c r="J112" s="144">
        <f t="shared" si="25"/>
        <v>758.5775750291895</v>
      </c>
      <c r="K112" s="146" t="str">
        <f t="shared" si="27"/>
        <v>4766.28347377932i</v>
      </c>
      <c r="L112" s="144" t="str">
        <f t="shared" si="28"/>
        <v>0.000337406521116703-0.14615820442209i</v>
      </c>
      <c r="M112" s="144" t="str">
        <f>IMPRODUCT(-1,IMPRODUCT(IMDIV(Fv_Co,K112),IMDIV(IMSUM(1,IMDIV(K112,Fv_fcz)),IMSUM(1,IMDIV(K112,Fv_fcp)))))</f>
        <v>-0.00159121454645126+0.00807020189204429i</v>
      </c>
      <c r="N112" s="144" t="str">
        <f t="shared" si="29"/>
        <v>0.00117898933170048+0.000235291999704731i</v>
      </c>
      <c r="O112" s="144">
        <f t="shared" si="30"/>
        <v>-58.400185090380134</v>
      </c>
      <c r="P112" s="144">
        <f t="shared" si="31"/>
        <v>11.286292267517515</v>
      </c>
      <c r="Q112" s="144">
        <f t="shared" si="26"/>
        <v>58.400185090380134</v>
      </c>
      <c r="R112" s="144">
        <f t="shared" si="32"/>
        <v>0</v>
      </c>
      <c r="S112" s="144">
        <f t="shared" si="33"/>
        <v>0</v>
      </c>
    </row>
    <row r="113" spans="10:19" ht="12.75">
      <c r="J113" s="144">
        <f t="shared" si="25"/>
        <v>831.7637711026773</v>
      </c>
      <c r="K113" s="146" t="str">
        <f t="shared" si="27"/>
        <v>5226.12590563663i</v>
      </c>
      <c r="L113" s="144" t="str">
        <f t="shared" si="28"/>
        <v>0.000280642772010817-0.133297986202945i</v>
      </c>
      <c r="M113" s="144" t="str">
        <f>IMPRODUCT(-1,IMPRODUCT(IMDIV(Fv_Co,K113),IMDIV(IMSUM(1,IMDIV(K113,Fv_fcz)),IMSUM(1,IMDIV(K113,Fv_fcp)))))</f>
        <v>-0.00133258935503926+0.00740855700576017i</v>
      </c>
      <c r="N113" s="144" t="str">
        <f t="shared" si="29"/>
        <v>0.000987171747967+0.000179710635436911i</v>
      </c>
      <c r="O113" s="144">
        <f t="shared" si="30"/>
        <v>-59.970550795560776</v>
      </c>
      <c r="P113" s="144">
        <f t="shared" si="31"/>
        <v>10.3174794545655</v>
      </c>
      <c r="Q113" s="144">
        <f t="shared" si="26"/>
        <v>59.970550795560776</v>
      </c>
      <c r="R113" s="144">
        <f t="shared" si="32"/>
        <v>0</v>
      </c>
      <c r="S113" s="144">
        <f t="shared" si="33"/>
        <v>0</v>
      </c>
    </row>
    <row r="114" spans="10:19" ht="12.75">
      <c r="J114" s="144">
        <f t="shared" si="25"/>
        <v>912.0108393559167</v>
      </c>
      <c r="K114" s="146" t="str">
        <f t="shared" si="27"/>
        <v>5730.33310582962i</v>
      </c>
      <c r="L114" s="144" t="str">
        <f t="shared" si="28"/>
        <v>0.000233428664453792-0.121569298938549i</v>
      </c>
      <c r="M114" s="144" t="str">
        <f>IMPRODUCT(-1,IMPRODUCT(IMDIV(Fv_Co,K114),IMDIV(IMSUM(1,IMDIV(K114,Fv_fcz)),IMSUM(1,IMDIV(K114,Fv_fcp)))))</f>
        <v>-0.00111475703938474+0.00679389809749553i</v>
      </c>
      <c r="N114" s="144" t="str">
        <f t="shared" si="29"/>
        <v>0.000825669212525579+0.000137106122324149i</v>
      </c>
      <c r="O114" s="144">
        <f t="shared" si="30"/>
        <v>-61.54574664212467</v>
      </c>
      <c r="P114" s="144">
        <f t="shared" si="31"/>
        <v>9.428194519835891</v>
      </c>
      <c r="Q114" s="144">
        <f t="shared" si="26"/>
        <v>61.54574664212467</v>
      </c>
      <c r="R114" s="144">
        <f t="shared" si="32"/>
        <v>0</v>
      </c>
      <c r="S114" s="144">
        <f t="shared" si="33"/>
        <v>0</v>
      </c>
    </row>
    <row r="115" spans="10:19" ht="12.75">
      <c r="J115" s="144">
        <f t="shared" si="25"/>
        <v>1000.0000000000077</v>
      </c>
      <c r="K115" s="146" t="str">
        <f t="shared" si="27"/>
        <v>6283.18530717963i</v>
      </c>
      <c r="L115" s="144" t="str">
        <f t="shared" si="28"/>
        <v>0.000194157626659058-0.11087258713543i</v>
      </c>
      <c r="M115" s="144" t="str">
        <f>IMPRODUCT(-1,IMPRODUCT(IMDIV(Fv_Co,K115),IMDIV(IMSUM(1,IMDIV(K115,Fv_fcz)),IMSUM(1,IMDIV(K115,Fv_fcp)))))</f>
        <v>-0.000931659261335375+0.00622463628000844i</v>
      </c>
      <c r="N115" s="144" t="str">
        <f t="shared" si="29"/>
        <v>0.000689960639590559+0.000104504033239879i</v>
      </c>
      <c r="O115" s="144">
        <f t="shared" si="30"/>
        <v>-63.12500667109059</v>
      </c>
      <c r="P115" s="144">
        <f t="shared" si="31"/>
        <v>8.61276976700554</v>
      </c>
      <c r="Q115" s="144">
        <f t="shared" si="26"/>
        <v>63.12500667109059</v>
      </c>
      <c r="R115" s="144">
        <f t="shared" si="32"/>
        <v>0</v>
      </c>
      <c r="S115" s="144">
        <f t="shared" si="33"/>
        <v>0</v>
      </c>
    </row>
    <row r="116" spans="10:19" ht="12.75">
      <c r="J116" s="144">
        <f t="shared" si="25"/>
        <v>1096.4781961431936</v>
      </c>
      <c r="K116" s="146" t="str">
        <f t="shared" si="27"/>
        <v>6889.37569164969i</v>
      </c>
      <c r="L116" s="144" t="str">
        <f t="shared" si="28"/>
        <v>0.000161493363055243-0.10111705342282i</v>
      </c>
      <c r="M116" s="144" t="str">
        <f>IMPRODUCT(-1,IMPRODUCT(IMDIV(Fv_Co,K116),IMDIV(IMSUM(1,IMDIV(K116,Fv_fcz)),IMSUM(1,IMDIV(K116,Fv_fcp)))))</f>
        <v>-0.000778022540286822+0.00569876691730297i</v>
      </c>
      <c r="N116" s="144" t="str">
        <f t="shared" si="29"/>
        <v>0.00057611687334456+0.0000795916598050839i</v>
      </c>
      <c r="O116" s="144">
        <f t="shared" si="30"/>
        <v>-64.70767992985125</v>
      </c>
      <c r="P116" s="144">
        <f t="shared" si="31"/>
        <v>7.865733199710834</v>
      </c>
      <c r="Q116" s="144">
        <f>ABS(O116)</f>
        <v>64.70767992985125</v>
      </c>
      <c r="R116" s="144">
        <f t="shared" si="32"/>
        <v>0</v>
      </c>
      <c r="S116" s="144">
        <f t="shared" si="33"/>
        <v>0</v>
      </c>
    </row>
    <row r="117" spans="10:19" ht="12.75">
      <c r="J117" s="144">
        <f t="shared" si="25"/>
        <v>1202.2644346174225</v>
      </c>
      <c r="K117" s="146" t="str">
        <f t="shared" si="27"/>
        <v>7554.05023093276i</v>
      </c>
      <c r="L117" s="144" t="str">
        <f t="shared" si="28"/>
        <v>0.000134324386304189-0.0922198883387595i</v>
      </c>
      <c r="M117" s="144" t="str">
        <f>IMPRODUCT(-1,IMPRODUCT(IMDIV(Fv_Co,K117),IMDIV(IMSUM(1,IMDIV(K117,Fv_fcz)),IMSUM(1,IMDIV(K117,Fv_fcp)))))</f>
        <v>-0.000649292894440291+0.00521401966887432i</v>
      </c>
      <c r="N117" s="144" t="str">
        <f t="shared" si="29"/>
        <v>0.000480749095790108+0.0000605780882166331i</v>
      </c>
      <c r="O117" s="144">
        <f t="shared" si="30"/>
        <v>-66.29321517936971</v>
      </c>
      <c r="P117" s="144">
        <f t="shared" si="31"/>
        <v>7.181858021096834</v>
      </c>
      <c r="Q117" s="144">
        <f aca="true" t="shared" si="34" ref="Q117:Q138">ABS(O117)</f>
        <v>66.29321517936971</v>
      </c>
      <c r="R117" s="144">
        <f t="shared" si="32"/>
        <v>0</v>
      </c>
      <c r="S117" s="144">
        <f t="shared" si="33"/>
        <v>0</v>
      </c>
    </row>
    <row r="118" spans="10:19" ht="12.75">
      <c r="J118" s="144">
        <f t="shared" si="25"/>
        <v>1318.2567385564178</v>
      </c>
      <c r="K118" s="146" t="str">
        <f t="shared" si="27"/>
        <v>8282.85137078816i</v>
      </c>
      <c r="L118" s="144" t="str">
        <f t="shared" si="28"/>
        <v>0.000111726197981498-0.084105567788671i</v>
      </c>
      <c r="M118" s="144" t="str">
        <f>IMPRODUCT(-1,IMPRODUCT(IMDIV(Fv_Co,K118),IMDIV(IMSUM(1,IMDIV(K118,Fv_fcz)),IMSUM(1,IMDIV(K118,Fv_fcp)))))</f>
        <v>-0.000541563176634525+0.00476797506011526i</v>
      </c>
      <c r="N118" s="144" t="str">
        <f t="shared" si="29"/>
        <v>0.000400952742838524+0.0000460811861898203i</v>
      </c>
      <c r="O118" s="144">
        <f t="shared" si="30"/>
        <v>-67.88114701243822</v>
      </c>
      <c r="P118" s="144">
        <f t="shared" si="31"/>
        <v>6.556193933718931</v>
      </c>
      <c r="Q118" s="144">
        <f t="shared" si="34"/>
        <v>67.88114701243822</v>
      </c>
      <c r="R118" s="144">
        <f t="shared" si="32"/>
        <v>0</v>
      </c>
      <c r="S118" s="144">
        <f t="shared" si="33"/>
        <v>0</v>
      </c>
    </row>
    <row r="119" spans="10:19" ht="12.75">
      <c r="J119" s="144">
        <f t="shared" si="25"/>
        <v>1445.4397707459393</v>
      </c>
      <c r="K119" s="146" t="str">
        <f t="shared" si="27"/>
        <v>9081.96592996392i</v>
      </c>
      <c r="L119" s="144" t="str">
        <f t="shared" si="28"/>
        <v>0.0000929298313529587-0.0767052122456087i</v>
      </c>
      <c r="M119" s="144" t="str">
        <f>IMPRODUCT(-1,IMPRODUCT(IMDIV(Fv_Co,K119),IMDIV(IMSUM(1,IMDIV(K119,Fv_fcz)),IMSUM(1,IMDIV(K119,Fv_fcp)))))</f>
        <v>-0.000451499072313238+0.00435815301992394i</v>
      </c>
      <c r="N119" s="144" t="str">
        <f t="shared" si="29"/>
        <v>0.00033425109465946+0.0000350373345956343i</v>
      </c>
      <c r="O119" s="144">
        <f t="shared" si="30"/>
        <v>-69.47108346779328</v>
      </c>
      <c r="P119" s="144">
        <f t="shared" si="31"/>
        <v>5.984084398907082</v>
      </c>
      <c r="Q119" s="144">
        <f t="shared" si="34"/>
        <v>69.47108346779328</v>
      </c>
      <c r="R119" s="144">
        <f t="shared" si="32"/>
        <v>0</v>
      </c>
      <c r="S119" s="144">
        <f t="shared" si="33"/>
        <v>0</v>
      </c>
    </row>
    <row r="120" spans="10:19" ht="12.75">
      <c r="J120" s="144">
        <f t="shared" si="25"/>
        <v>1584.8931924611265</v>
      </c>
      <c r="K120" s="146" t="str">
        <f t="shared" si="27"/>
        <v>9958.1776203207i</v>
      </c>
      <c r="L120" s="144" t="str">
        <f t="shared" si="28"/>
        <v>0.000077295686060941-0.0699560022775482i</v>
      </c>
      <c r="M120" s="144" t="str">
        <f>IMPRODUCT(-1,IMPRODUCT(IMDIV(Fv_Co,K120),IMDIV(IMSUM(1,IMDIV(K120,Fv_fcz)),IMSUM(1,IMDIV(K120,Fv_fcp)))))</f>
        <v>-0.000376267618851889+0.00398207852655785i</v>
      </c>
      <c r="N120" s="144" t="str">
        <f t="shared" si="29"/>
        <v>0.000278541210609515+0.0000266299758930292i</v>
      </c>
      <c r="O120" s="144">
        <f t="shared" si="30"/>
        <v>-71.06269512575606</v>
      </c>
      <c r="P120" s="144">
        <f t="shared" si="31"/>
        <v>5.461173297612752</v>
      </c>
      <c r="Q120" s="144">
        <f t="shared" si="34"/>
        <v>71.06269512575606</v>
      </c>
      <c r="R120" s="144">
        <f t="shared" si="32"/>
        <v>0</v>
      </c>
      <c r="S120" s="144">
        <f t="shared" si="33"/>
        <v>0</v>
      </c>
    </row>
    <row r="121" spans="10:19" ht="12.75">
      <c r="J121" s="144">
        <f t="shared" si="25"/>
        <v>1737.80082874939</v>
      </c>
      <c r="K121" s="146" t="str">
        <f t="shared" si="27"/>
        <v>10918.9246340027i</v>
      </c>
      <c r="L121" s="144" t="str">
        <f t="shared" si="28"/>
        <v>0.0000642917645329091-0.0638006454591525i</v>
      </c>
      <c r="M121" s="144" t="str">
        <f>IMPRODUCT(-1,IMPRODUCT(IMDIV(Fv_Co,K121),IMDIV(IMSUM(1,IMDIV(K121,Fv_fcz)),IMSUM(1,IMDIV(K121,Fv_fcp)))))</f>
        <v>-0.000313470554441791+0.00363732894412994i</v>
      </c>
      <c r="N121" s="144" t="str">
        <f t="shared" si="29"/>
        <v>0.000232043780807674+0.0000202334740018294i</v>
      </c>
      <c r="O121" s="144">
        <f t="shared" si="30"/>
        <v>-72.6557056090411</v>
      </c>
      <c r="P121" s="144">
        <f t="shared" si="31"/>
        <v>4.983403777756706</v>
      </c>
      <c r="Q121" s="144">
        <f t="shared" si="34"/>
        <v>72.6557056090411</v>
      </c>
      <c r="R121" s="144">
        <f t="shared" si="32"/>
        <v>0</v>
      </c>
      <c r="S121" s="144">
        <f t="shared" si="33"/>
        <v>0</v>
      </c>
    </row>
    <row r="122" spans="10:19" ht="12.75">
      <c r="J122" s="144">
        <f t="shared" si="25"/>
        <v>1905.460717963263</v>
      </c>
      <c r="K122" s="146" t="str">
        <f t="shared" si="27"/>
        <v>11972.3627865146i</v>
      </c>
      <c r="L122" s="144" t="str">
        <f t="shared" si="28"/>
        <v>0.0000534755696542957-0.0581868901570719i</v>
      </c>
      <c r="M122" s="144" t="str">
        <f>IMPRODUCT(-1,IMPRODUCT(IMDIV(Fv_Co,K122),IMDIV(IMSUM(1,IMDIV(K122,Fv_fcz)),IMSUM(1,IMDIV(K122,Fv_fcp)))))</f>
        <v>-0.00026108370665719+0.00332156697519388i</v>
      </c>
      <c r="N122" s="144" t="str">
        <f t="shared" si="29"/>
        <v>0.000193257691135023+0.0000153692716472065i</v>
      </c>
      <c r="O122" s="144">
        <f t="shared" si="30"/>
        <v>-74.24988337714308</v>
      </c>
      <c r="P122" s="144">
        <f t="shared" si="31"/>
        <v>4.547011499288823</v>
      </c>
      <c r="Q122" s="144">
        <f t="shared" si="34"/>
        <v>74.24988337714308</v>
      </c>
      <c r="R122" s="144">
        <f t="shared" si="32"/>
        <v>0</v>
      </c>
      <c r="S122" s="144">
        <f t="shared" si="33"/>
        <v>0</v>
      </c>
    </row>
    <row r="123" spans="10:19" ht="12.75">
      <c r="J123" s="144">
        <f t="shared" si="25"/>
        <v>2089.296130854057</v>
      </c>
      <c r="K123" s="146" t="str">
        <f t="shared" si="27"/>
        <v>13127.4347517294i</v>
      </c>
      <c r="L123" s="144" t="str">
        <f t="shared" si="28"/>
        <v>0.0000444790477977835-0.0530670820722438i</v>
      </c>
      <c r="M123" s="144" t="str">
        <f>IMPRODUCT(-1,IMPRODUCT(IMDIV(Fv_Co,K123),IMDIV(IMSUM(1,IMDIV(K123,Fv_fcz)),IMSUM(1,IMDIV(K123,Fv_fcp)))))</f>
        <v>-0.00021740288342419+0.00303256249614932i</v>
      </c>
      <c r="N123" s="144" t="str">
        <f t="shared" si="29"/>
        <v>0.000160919572999121+0.0000116718221496299i</v>
      </c>
      <c r="O123" s="144">
        <f t="shared" si="30"/>
        <v>-75.84503468611322</v>
      </c>
      <c r="P123" s="144">
        <f t="shared" si="31"/>
        <v>4.1485140036598445</v>
      </c>
      <c r="Q123" s="144">
        <f t="shared" si="34"/>
        <v>75.84503468611322</v>
      </c>
      <c r="R123" s="144">
        <f t="shared" si="32"/>
        <v>0</v>
      </c>
      <c r="S123" s="144">
        <f t="shared" si="33"/>
        <v>0</v>
      </c>
    </row>
    <row r="124" spans="10:19" ht="12.75">
      <c r="J124" s="144">
        <f t="shared" si="25"/>
        <v>2290.8676527677926</v>
      </c>
      <c r="K124" s="146" t="str">
        <f t="shared" si="27"/>
        <v>14393.9459765636i</v>
      </c>
      <c r="L124" s="144" t="str">
        <f t="shared" si="28"/>
        <v>0.0000369960649038956-0.0483977597829945i</v>
      </c>
      <c r="M124" s="144" t="str">
        <f>IMPRODUCT(-1,IMPRODUCT(IMDIV(Fv_Co,K124),IMDIV(IMSUM(1,IMDIV(K124,Fv_fcz)),IMSUM(1,IMDIV(K124,Fv_fcp)))))</f>
        <v>-0.000180996242956189+0.00276820593436149i</v>
      </c>
      <c r="N124" s="144" t="str">
        <f t="shared" si="29"/>
        <v>0.000133968269692335+8.86222541463313E-06i</v>
      </c>
      <c r="O124" s="144">
        <f t="shared" si="30"/>
        <v>-77.44099758136493</v>
      </c>
      <c r="P124" s="144">
        <f t="shared" si="31"/>
        <v>3.784697535493719</v>
      </c>
      <c r="Q124" s="144">
        <f t="shared" si="34"/>
        <v>77.44099758136493</v>
      </c>
      <c r="R124" s="144">
        <f t="shared" si="32"/>
        <v>0</v>
      </c>
      <c r="S124" s="144">
        <f t="shared" si="33"/>
        <v>0</v>
      </c>
    </row>
    <row r="125" spans="10:19" ht="12.75">
      <c r="J125" s="144">
        <f t="shared" si="25"/>
        <v>2511.8864315096016</v>
      </c>
      <c r="K125" s="146" t="str">
        <f t="shared" si="27"/>
        <v>15782.6479197649i</v>
      </c>
      <c r="L125" s="144" t="str">
        <f t="shared" si="28"/>
        <v>0.0000307719894854932-0.0441392858617891i</v>
      </c>
      <c r="M125" s="144" t="str">
        <f>IMPRODUCT(-1,IMPRODUCT(IMDIV(Fv_Co,K125),IMDIV(IMSUM(1,IMDIV(K125,Fv_fcz)),IMSUM(1,IMDIV(K125,Fv_fcp)))))</f>
        <v>-0.000150662821376511+0.00252651531311078i</v>
      </c>
      <c r="N125" s="144" t="str">
        <f t="shared" si="29"/>
        <v>0.000111513945444829+6.72789524413147E-06i</v>
      </c>
      <c r="O125" s="144">
        <f t="shared" si="30"/>
        <v>-79.03763679486387</v>
      </c>
      <c r="P125" s="144">
        <f t="shared" si="31"/>
        <v>3.4526023222077815</v>
      </c>
      <c r="Q125" s="144">
        <f t="shared" si="34"/>
        <v>79.03763679486387</v>
      </c>
      <c r="R125" s="144">
        <f t="shared" si="32"/>
        <v>0</v>
      </c>
      <c r="S125" s="144">
        <f t="shared" si="33"/>
        <v>0</v>
      </c>
    </row>
    <row r="126" spans="10:19" ht="12.75">
      <c r="J126" s="144">
        <f t="shared" si="25"/>
        <v>2754.2287033381904</v>
      </c>
      <c r="K126" s="146" t="str">
        <f t="shared" si="27"/>
        <v>17305.3293214268i</v>
      </c>
      <c r="L126" s="144" t="str">
        <f t="shared" si="28"/>
        <v>0.0000255950281116229-0.0402555104389667i</v>
      </c>
      <c r="M126" s="144" t="str">
        <f>IMPRODUCT(-1,IMPRODUCT(IMDIV(Fv_Co,K126),IMDIV(IMSUM(1,IMDIV(K126,Fv_fcz)),IMSUM(1,IMDIV(K126,Fv_fcp)))))</f>
        <v>-0.000125396730485256+0.00230563863957724i</v>
      </c>
      <c r="N126" s="144" t="str">
        <f t="shared" si="29"/>
        <v>0.0000928114507911447+5.10692227885674E-06i</v>
      </c>
      <c r="O126" s="144">
        <f t="shared" si="30"/>
        <v>-80.6348394264121</v>
      </c>
      <c r="P126" s="144">
        <f t="shared" si="31"/>
        <v>3.149507061482264</v>
      </c>
      <c r="Q126" s="144">
        <f t="shared" si="34"/>
        <v>80.6348394264121</v>
      </c>
      <c r="R126" s="144">
        <f t="shared" si="32"/>
        <v>0</v>
      </c>
      <c r="S126" s="144">
        <f t="shared" si="33"/>
        <v>0</v>
      </c>
    </row>
    <row r="127" spans="10:19" ht="12.75">
      <c r="J127" s="144">
        <f t="shared" si="25"/>
        <v>3019.9517204020426</v>
      </c>
      <c r="K127" s="146" t="str">
        <f t="shared" si="27"/>
        <v>18974.9162780218i</v>
      </c>
      <c r="L127" s="144" t="str">
        <f t="shared" si="28"/>
        <v>0.0000212890185514922-0.0367134643610662i</v>
      </c>
      <c r="M127" s="144" t="str">
        <f>IMPRODUCT(-1,IMPRODUCT(IMDIV(Fv_Co,K127),IMDIV(IMSUM(1,IMDIV(K127,Fv_fcz)),IMSUM(1,IMDIV(K127,Fv_fcp)))))</f>
        <v>-0.0001043564608875+0.00210385293901353i</v>
      </c>
      <c r="N127" s="144" t="str">
        <f t="shared" si="29"/>
        <v>0.0000772375082507658+0.0000038760761718885i</v>
      </c>
      <c r="O127" s="144">
        <f t="shared" si="30"/>
        <v>-82.23251129952567</v>
      </c>
      <c r="P127" s="144">
        <f t="shared" si="31"/>
        <v>2.872913165934619</v>
      </c>
      <c r="Q127" s="144">
        <f t="shared" si="34"/>
        <v>82.23251129952567</v>
      </c>
      <c r="R127" s="144">
        <f t="shared" si="32"/>
        <v>0</v>
      </c>
      <c r="S127" s="144">
        <f t="shared" si="33"/>
        <v>0</v>
      </c>
    </row>
    <row r="128" spans="10:19" ht="12.75">
      <c r="J128" s="144">
        <f t="shared" si="25"/>
        <v>3311.31121482594</v>
      </c>
      <c r="K128" s="146" t="str">
        <f t="shared" si="27"/>
        <v>20805.5819724933i</v>
      </c>
      <c r="L128" s="144" t="str">
        <f t="shared" si="28"/>
        <v>0.0000177074353551591-0.0334830793417098i</v>
      </c>
      <c r="M128" s="144" t="str">
        <f>IMPRODUCT(-1,IMPRODUCT(IMDIV(Fv_Co,K128),IMDIV(IMSUM(1,IMDIV(K128,Fv_fcz)),IMSUM(1,IMDIV(K128,Fv_fcp)))))</f>
        <v>-0.0000868387064961983+0.00191956093714047i</v>
      </c>
      <c r="N128" s="144" t="str">
        <f t="shared" si="29"/>
        <v>0.0000642712734687396+2.94161780074836E-06i</v>
      </c>
      <c r="O128" s="144">
        <f t="shared" si="30"/>
        <v>-83.83057389413439</v>
      </c>
      <c r="P128" s="144">
        <f t="shared" si="31"/>
        <v>2.6205291590214634</v>
      </c>
      <c r="Q128" s="144">
        <f t="shared" si="34"/>
        <v>83.83057389413439</v>
      </c>
      <c r="R128" s="144">
        <f t="shared" si="32"/>
        <v>0</v>
      </c>
      <c r="S128" s="144">
        <f t="shared" si="33"/>
        <v>0</v>
      </c>
    </row>
    <row r="129" spans="10:19" ht="12.75">
      <c r="J129" s="144">
        <f t="shared" si="25"/>
        <v>3630.7805477010456</v>
      </c>
      <c r="K129" s="146" t="str">
        <f t="shared" si="27"/>
        <v>22812.8669909087i</v>
      </c>
      <c r="L129" s="144" t="str">
        <f t="shared" si="28"/>
        <v>0.0000147284039005677-0.0305369327314832i</v>
      </c>
      <c r="M129" s="144" t="str">
        <f>IMPRODUCT(-1,IMPRODUCT(IMDIV(Fv_Co,K129),IMDIV(IMSUM(1,IMDIV(K129,Fv_fcz)),IMSUM(1,IMDIV(K129,Fv_fcp)))))</f>
        <v>-0.0000722561432759847+0.00175128615275834i</v>
      </c>
      <c r="N129" s="144" t="str">
        <f t="shared" si="29"/>
        <v>0.000053477843222697+2.23227463645845E-06i</v>
      </c>
      <c r="O129" s="144">
        <f t="shared" si="30"/>
        <v>-85.42896177006034</v>
      </c>
      <c r="P129" s="144">
        <f t="shared" si="31"/>
        <v>2.3902554971815175</v>
      </c>
      <c r="Q129" s="144">
        <f t="shared" si="34"/>
        <v>85.42896177006034</v>
      </c>
      <c r="R129" s="144">
        <f t="shared" si="32"/>
        <v>0</v>
      </c>
      <c r="S129" s="144">
        <f t="shared" si="33"/>
        <v>0</v>
      </c>
    </row>
    <row r="130" spans="10:19" ht="12.75">
      <c r="J130" s="144">
        <f t="shared" si="25"/>
        <v>3981.0717055350083</v>
      </c>
      <c r="K130" s="146" t="str">
        <f t="shared" si="27"/>
        <v>25013.8112470459i</v>
      </c>
      <c r="L130" s="144" t="str">
        <f t="shared" si="28"/>
        <v>0.0000122505532501011-0.027850014741742i</v>
      </c>
      <c r="M130" s="144" t="str">
        <f>IMPRODUCT(-1,IMPRODUCT(IMDIV(Fv_Co,K130),IMDIV(IMSUM(1,IMDIV(K130,Fv_fcz)),IMSUM(1,IMDIV(K130,Fv_fcp)))))</f>
        <v>-0.0000601186328051105+0.00159766697356396i</v>
      </c>
      <c r="N130" s="144" t="str">
        <f t="shared" si="29"/>
        <v>0.0000444943122796381+1.69387711421127E-06i</v>
      </c>
      <c r="O130" s="144">
        <f t="shared" si="30"/>
        <v>-87.02762040639084</v>
      </c>
      <c r="P130" s="144">
        <f t="shared" si="31"/>
        <v>2.1801700030189344</v>
      </c>
      <c r="Q130" s="144">
        <f t="shared" si="34"/>
        <v>87.02762040639084</v>
      </c>
      <c r="R130" s="144">
        <f t="shared" si="32"/>
        <v>0</v>
      </c>
      <c r="S130" s="144">
        <f t="shared" si="33"/>
        <v>0</v>
      </c>
    </row>
    <row r="131" spans="10:19" ht="12.75">
      <c r="J131" s="144">
        <f t="shared" si="25"/>
        <v>4365.1583224016995</v>
      </c>
      <c r="K131" s="146" t="str">
        <f t="shared" si="27"/>
        <v>27427.098634827i</v>
      </c>
      <c r="L131" s="144" t="str">
        <f t="shared" si="28"/>
        <v>0.0000101895667010906-0.0253995161475i</v>
      </c>
      <c r="M131" s="144" t="str">
        <f>IMPRODUCT(-1,IMPRODUCT(IMDIV(Fv_Co,K131),IMDIV(IMSUM(1,IMDIV(K131,Fv_fcz)),IMSUM(1,IMDIV(K131,Fv_fcp)))))</f>
        <v>-0.0000500173695698524+0.00145745014088792i</v>
      </c>
      <c r="N131" s="144" t="str">
        <f t="shared" si="29"/>
        <v>0.0000370180187323354+1.28526777146903E-06i</v>
      </c>
      <c r="O131" s="144">
        <f t="shared" si="30"/>
        <v>-88.62650439213509</v>
      </c>
      <c r="P131" s="144">
        <f t="shared" si="31"/>
        <v>1.9885140266853463</v>
      </c>
      <c r="Q131" s="144">
        <f t="shared" si="34"/>
        <v>88.62650439213509</v>
      </c>
      <c r="R131" s="144">
        <f t="shared" si="32"/>
        <v>0</v>
      </c>
      <c r="S131" s="144">
        <f t="shared" si="33"/>
        <v>0</v>
      </c>
    </row>
    <row r="132" spans="10:19" ht="12.75">
      <c r="J132" s="144">
        <f t="shared" si="25"/>
        <v>4786.300923226428</v>
      </c>
      <c r="K132" s="146" t="str">
        <f t="shared" si="27"/>
        <v>30073.2156365564i</v>
      </c>
      <c r="L132" s="144" t="str">
        <f t="shared" si="28"/>
        <v>8.47531265467653E-06-0.0231646346681146i</v>
      </c>
      <c r="M132" s="144" t="str">
        <f>IMPRODUCT(-1,IMPRODUCT(IMDIV(Fv_Co,K132),IMDIV(IMSUM(1,IMDIV(K132,Fv_fcz)),IMSUM(1,IMDIV(K132,Fv_fcp)))))</f>
        <v>-0.000041611543190107+0.00132948395534391i</v>
      </c>
      <c r="N132" s="144" t="str">
        <f t="shared" si="29"/>
        <v>0.0000307966574518231+9.75183988166216E-07i</v>
      </c>
      <c r="O132" s="144">
        <f t="shared" si="30"/>
        <v>-90.22557591279494</v>
      </c>
      <c r="P132" s="144">
        <f t="shared" si="31"/>
        <v>1.8136794024991008</v>
      </c>
      <c r="Q132" s="144">
        <f t="shared" si="34"/>
        <v>90.22557591279494</v>
      </c>
      <c r="R132" s="144">
        <f t="shared" si="32"/>
        <v>0</v>
      </c>
      <c r="S132" s="144">
        <f t="shared" si="33"/>
        <v>0</v>
      </c>
    </row>
    <row r="133" spans="10:19" ht="12.75">
      <c r="J133" s="144">
        <f t="shared" si="25"/>
        <v>5248.074602497774</v>
      </c>
      <c r="K133" s="146" t="str">
        <f t="shared" si="27"/>
        <v>32974.6252333964i</v>
      </c>
      <c r="L133" s="144" t="str">
        <f t="shared" si="28"/>
        <v>7.04945817368595E-06-0.0211263983828194i</v>
      </c>
      <c r="M133" s="144" t="str">
        <f>IMPRODUCT(-1,IMPRODUCT(IMDIV(Fv_Co,K133),IMDIV(IMSUM(1,IMDIV(K133,Fv_fcz)),IMSUM(1,IMDIV(K133,Fv_fcp)))))</f>
        <v>-0.0000346171388180141+0.00121271142829216i</v>
      </c>
      <c r="N133" s="144" t="str">
        <f t="shared" si="29"/>
        <v>0.0000256199807254259+7.39884424033224E-07i</v>
      </c>
      <c r="O133" s="144">
        <f t="shared" si="30"/>
        <v>-91.82480348566195</v>
      </c>
      <c r="P133" s="144">
        <f t="shared" si="31"/>
        <v>1.6541962312122327</v>
      </c>
      <c r="Q133" s="144">
        <f t="shared" si="34"/>
        <v>91.82480348566195</v>
      </c>
      <c r="R133" s="144">
        <f t="shared" si="32"/>
        <v>0</v>
      </c>
      <c r="S133" s="144">
        <f t="shared" si="33"/>
        <v>0</v>
      </c>
    </row>
    <row r="134" spans="10:19" ht="12.75">
      <c r="J134" s="144">
        <f aca="true" t="shared" si="35" ref="J134:J140">10^(4/100)*J133</f>
        <v>5754.3993733716225</v>
      </c>
      <c r="K134" s="146" t="str">
        <f t="shared" si="27"/>
        <v>36155.957594412i</v>
      </c>
      <c r="L134" s="144" t="str">
        <f t="shared" si="28"/>
        <v>5.86348402460933E-06-0.0192675046825979i</v>
      </c>
      <c r="M134" s="144" t="str">
        <f>IMPRODUCT(-1,IMPRODUCT(IMDIV(Fv_Co,K134),IMDIV(IMSUM(1,IMDIV(K134,Fv_fcz)),IMSUM(1,IMDIV(K134,Fv_fcp)))))</f>
        <v>-0.0000287975482728498+0.00110616353785099i</v>
      </c>
      <c r="N134" s="144" t="str">
        <f t="shared" si="29"/>
        <v>0.0000213128422912988+5.61342868427267E-07i</v>
      </c>
      <c r="O134" s="144">
        <f t="shared" si="30"/>
        <v>-93.42416090379898</v>
      </c>
      <c r="P134" s="144">
        <f t="shared" si="31"/>
        <v>1.5087214920107932</v>
      </c>
      <c r="Q134" s="144">
        <f t="shared" si="34"/>
        <v>93.42416090379898</v>
      </c>
      <c r="R134" s="144">
        <f t="shared" si="32"/>
        <v>0</v>
      </c>
      <c r="S134" s="144">
        <f t="shared" si="33"/>
        <v>0</v>
      </c>
    </row>
    <row r="135" spans="10:19" ht="12.75">
      <c r="J135" s="144">
        <f t="shared" si="35"/>
        <v>6309.573444801991</v>
      </c>
      <c r="K135" s="146" t="str">
        <f t="shared" si="27"/>
        <v>39644.2191629504i</v>
      </c>
      <c r="L135" s="144" t="str">
        <f t="shared" si="28"/>
        <v>0.0000048770336600957-0.0175721733916524i</v>
      </c>
      <c r="M135" s="144" t="str">
        <f>IMPRODUCT(-1,IMPRODUCT(IMDIV(Fv_Co,K135),IMDIV(IMSUM(1,IMDIV(K135,Fv_fcz)),IMSUM(1,IMDIV(K135,Fv_fcp)))))</f>
        <v>-0.000023955709740603+0.00100895269831529i</v>
      </c>
      <c r="N135" s="144" t="str">
        <f t="shared" si="29"/>
        <v>0.0000177293749259691+0.0000004258745815531i</v>
      </c>
      <c r="O135" s="144">
        <f t="shared" si="30"/>
        <v>-95.02362635485056</v>
      </c>
      <c r="P135" s="144">
        <f t="shared" si="31"/>
        <v>1.3760284698211567</v>
      </c>
      <c r="Q135" s="144">
        <f t="shared" si="34"/>
        <v>95.02362635485056</v>
      </c>
      <c r="R135" s="144">
        <f t="shared" si="32"/>
        <v>0</v>
      </c>
      <c r="S135" s="144">
        <f t="shared" si="33"/>
        <v>0</v>
      </c>
    </row>
    <row r="136" spans="10:19" ht="12.75">
      <c r="J136" s="144">
        <f t="shared" si="35"/>
        <v>6918.30970918943</v>
      </c>
      <c r="K136" s="146" t="str">
        <f t="shared" si="27"/>
        <v>43469.0219152969i</v>
      </c>
      <c r="L136" s="144" t="str">
        <f t="shared" si="28"/>
        <v>4.05653996148561E-06-0.0160260128119137i</v>
      </c>
      <c r="M136" s="144" t="str">
        <f>IMPRODUCT(-1,IMPRODUCT(IMDIV(Fv_Co,K136),IMDIV(IMSUM(1,IMDIV(K136,Fv_fcz)),IMSUM(1,IMDIV(K136,Fv_fcp)))))</f>
        <v>-0.0000199275344898038+0.000920266514561264i</v>
      </c>
      <c r="N136" s="144" t="str">
        <f t="shared" si="29"/>
        <v>0.000014748122115894+3.23092020934983E-07i</v>
      </c>
      <c r="O136" s="144">
        <f t="shared" si="30"/>
        <v>-96.6231816861378</v>
      </c>
      <c r="P136" s="144">
        <f t="shared" si="31"/>
        <v>1.25499697085622</v>
      </c>
      <c r="Q136" s="144">
        <f t="shared" si="34"/>
        <v>96.6231816861378</v>
      </c>
      <c r="R136" s="144">
        <f t="shared" si="32"/>
        <v>0</v>
      </c>
      <c r="S136" s="144">
        <f t="shared" si="33"/>
        <v>0</v>
      </c>
    </row>
    <row r="137" spans="10:19" ht="12.75">
      <c r="J137" s="144">
        <f t="shared" si="35"/>
        <v>7585.775750291909</v>
      </c>
      <c r="K137" s="146" t="str">
        <f t="shared" si="27"/>
        <v>47662.8347377933i</v>
      </c>
      <c r="L137" s="144" t="str">
        <f t="shared" si="28"/>
        <v>3.37408301236332E-06-0.0146158975536673i</v>
      </c>
      <c r="M137" s="144" t="str">
        <f>IMPRODUCT(-1,IMPRODUCT(IMDIV(Fv_Co,K137),IMDIV(IMSUM(1,IMDIV(K137,Fv_fcz)),IMSUM(1,IMDIV(K137,Fv_fcp)))))</f>
        <v>-0.0000165764149236054+0.000839361865411711i</v>
      </c>
      <c r="N137" s="144" t="str">
        <f t="shared" si="29"/>
        <v>0.0000122679711051126+2.4511125894181E-07i</v>
      </c>
      <c r="O137" s="144">
        <f t="shared" si="30"/>
        <v>-98.22281179203131</v>
      </c>
      <c r="P137" s="144">
        <f t="shared" si="31"/>
        <v>1.1446042910819039</v>
      </c>
      <c r="Q137" s="144">
        <f t="shared" si="34"/>
        <v>98.22281179203131</v>
      </c>
      <c r="R137" s="144">
        <f t="shared" si="32"/>
        <v>0</v>
      </c>
      <c r="S137" s="144">
        <f t="shared" si="33"/>
        <v>0</v>
      </c>
    </row>
    <row r="138" spans="10:19" ht="12.75">
      <c r="J138" s="144">
        <f t="shared" si="35"/>
        <v>8317.63771102679</v>
      </c>
      <c r="K138" s="146" t="str">
        <f t="shared" si="27"/>
        <v>52261.2590563664i</v>
      </c>
      <c r="L138" s="144" t="str">
        <f t="shared" si="28"/>
        <v>2.80644003553824E-06-0.0133298571153705i</v>
      </c>
      <c r="M138" s="144" t="str">
        <f>IMPRODUCT(-1,IMPRODUCT(IMDIV(Fv_Co,K138),IMDIV(IMSUM(1,IMDIV(K138,Fv_fcz)),IMSUM(1,IMDIV(K138,Fv_fcp)))))</f>
        <v>-0.0000137886395738877+0.000765559339718142i</v>
      </c>
      <c r="N138" s="144" t="str">
        <f t="shared" si="29"/>
        <v>0.0000102047579147901+1.85949091715831E-07i</v>
      </c>
      <c r="O138" s="144">
        <f t="shared" si="30"/>
        <v>-99.8225041034474</v>
      </c>
      <c r="P138" s="144">
        <f t="shared" si="31"/>
        <v>1.043916897267976</v>
      </c>
      <c r="Q138" s="144">
        <f t="shared" si="34"/>
        <v>99.8225041034474</v>
      </c>
      <c r="R138" s="144">
        <f t="shared" si="32"/>
        <v>0</v>
      </c>
      <c r="S138" s="144">
        <f t="shared" si="33"/>
        <v>0</v>
      </c>
    </row>
    <row r="139" spans="10:19" ht="12.75">
      <c r="J139" s="144">
        <f t="shared" si="35"/>
        <v>9120.108393559185</v>
      </c>
      <c r="K139" s="146" t="str">
        <f t="shared" si="27"/>
        <v>57303.3310582963i</v>
      </c>
      <c r="L139" s="144" t="str">
        <f t="shared" si="28"/>
        <v>2.33429516474028E-06-0.0121569742669413i</v>
      </c>
      <c r="M139" s="144" t="str">
        <f>IMPRODUCT(-1,IMPRODUCT(IMDIV(Fv_Co,K139),IMDIV(IMSUM(1,IMDIV(K139,Fv_fcz)),IMSUM(1,IMDIV(K139,Fv_fcp)))))</f>
        <v>-0.0000114695676774443+0.000698238034305626i</v>
      </c>
      <c r="N139" s="144" t="str">
        <f t="shared" si="29"/>
        <v>0.0000084884350418968+1.41065132774949E-07i</v>
      </c>
      <c r="O139" s="144">
        <f t="shared" si="30"/>
        <v>-101.42224816257811</v>
      </c>
      <c r="P139" s="144">
        <f t="shared" si="31"/>
        <v>0.9520827776407529</v>
      </c>
      <c r="Q139" s="144">
        <f>ABS(O139)</f>
        <v>101.42224816257811</v>
      </c>
      <c r="R139" s="144">
        <f t="shared" si="32"/>
        <v>0</v>
      </c>
      <c r="S139" s="144">
        <f t="shared" si="33"/>
        <v>0</v>
      </c>
    </row>
    <row r="140" spans="10:19" ht="12.75">
      <c r="J140" s="144">
        <f t="shared" si="35"/>
        <v>10000.000000000096</v>
      </c>
      <c r="K140" s="146" t="str">
        <f t="shared" si="27"/>
        <v>62831.8530717965i</v>
      </c>
      <c r="L140" s="144" t="str">
        <f t="shared" si="28"/>
        <v>1.94158216113414E-06-0.0110872923739923i</v>
      </c>
      <c r="M140" s="144" t="str">
        <f>IMPRODUCT(-1,IMPRODUCT(IMDIV(Fv_Co,K140),IMDIV(IMSUM(1,IMDIV(K140,Fv_fcz)),IMSUM(1,IMDIV(K140,Fv_fcp)))))</f>
        <v>-0.0000095404391648729+0.000636830712549693i</v>
      </c>
      <c r="N140" s="144" t="str">
        <f t="shared" si="29"/>
        <v>0.0000070607097792298+1.07014097548382E-07i</v>
      </c>
      <c r="O140" s="144">
        <f t="shared" si="30"/>
        <v>-103.02203526871338</v>
      </c>
      <c r="P140" s="144">
        <f t="shared" si="31"/>
        <v>0.8683244182139541</v>
      </c>
      <c r="Q140" s="144">
        <f>ABS(O140)</f>
        <v>103.02203526871338</v>
      </c>
      <c r="R140" s="144">
        <f t="shared" si="32"/>
        <v>0</v>
      </c>
      <c r="S140" s="144">
        <f t="shared" si="33"/>
        <v>0</v>
      </c>
    </row>
    <row r="141" ht="12.75">
      <c r="K141" s="143"/>
    </row>
    <row r="142" ht="12.75">
      <c r="K142" s="143"/>
    </row>
    <row r="143" ht="12.75">
      <c r="K143" s="143"/>
    </row>
    <row r="144" ht="12.75">
      <c r="K144" s="143"/>
    </row>
    <row r="145" ht="12.75">
      <c r="K145" s="143"/>
    </row>
    <row r="146" ht="12.75">
      <c r="K146" s="143"/>
    </row>
    <row r="147" ht="12.75">
      <c r="K147" s="143"/>
    </row>
    <row r="148" ht="12.75">
      <c r="K148" s="143"/>
    </row>
    <row r="149" ht="12.75">
      <c r="K149" s="143"/>
    </row>
    <row r="150" ht="12.75">
      <c r="K150" s="143"/>
    </row>
    <row r="151" ht="12.75">
      <c r="K151" s="143"/>
    </row>
    <row r="152" ht="12.75">
      <c r="K152" s="143"/>
    </row>
    <row r="153" ht="12.75">
      <c r="K153" s="143"/>
    </row>
    <row r="154" ht="12.75">
      <c r="K154" s="143"/>
    </row>
    <row r="155" ht="12.75">
      <c r="K155" s="143"/>
    </row>
    <row r="156" ht="12.75">
      <c r="K156" s="143"/>
    </row>
    <row r="157" ht="12.75">
      <c r="K157" s="143"/>
    </row>
    <row r="158" ht="12.75">
      <c r="K158" s="143"/>
    </row>
    <row r="159" ht="12.75">
      <c r="K159" s="143"/>
    </row>
    <row r="160" ht="12.75">
      <c r="K160" s="143"/>
    </row>
    <row r="161" ht="12.75">
      <c r="K161" s="143"/>
    </row>
    <row r="162" ht="12.75">
      <c r="K162" s="143"/>
    </row>
    <row r="163" ht="12.75">
      <c r="K163" s="143"/>
    </row>
    <row r="164" ht="12.75">
      <c r="K164" s="143"/>
    </row>
    <row r="165" ht="12.75">
      <c r="K165" s="143"/>
    </row>
    <row r="166" ht="12.75">
      <c r="K166" s="143"/>
    </row>
    <row r="167" ht="12.75">
      <c r="K167" s="143"/>
    </row>
    <row r="168" ht="12.75">
      <c r="K168" s="143"/>
    </row>
    <row r="169" ht="12.75">
      <c r="K169" s="143"/>
    </row>
    <row r="170" ht="12.75">
      <c r="K170" s="143"/>
    </row>
    <row r="171" ht="12.75">
      <c r="K171" s="143"/>
    </row>
    <row r="172" ht="12.75">
      <c r="K172" s="143"/>
    </row>
    <row r="173" ht="12.75">
      <c r="K173" s="143"/>
    </row>
    <row r="174" ht="12.75">
      <c r="K174" s="143"/>
    </row>
    <row r="175" ht="12.75">
      <c r="K175" s="143"/>
    </row>
    <row r="176" ht="12.75">
      <c r="K176" s="143"/>
    </row>
    <row r="177" ht="12.75">
      <c r="K177" s="143"/>
    </row>
    <row r="178" ht="12.75">
      <c r="K178" s="143"/>
    </row>
    <row r="179" ht="12.75">
      <c r="K179" s="143"/>
    </row>
    <row r="180" ht="12.75">
      <c r="K180" s="143"/>
    </row>
    <row r="181" ht="12.75">
      <c r="K181" s="143"/>
    </row>
    <row r="182" ht="12.75">
      <c r="K182" s="143"/>
    </row>
    <row r="183" ht="12.75">
      <c r="K183" s="143"/>
    </row>
    <row r="184" ht="12.75">
      <c r="K184" s="143"/>
    </row>
    <row r="185" ht="12.75">
      <c r="K185" s="143"/>
    </row>
    <row r="186" ht="12.75">
      <c r="K186" s="143"/>
    </row>
    <row r="187" ht="12.75">
      <c r="K187" s="143"/>
    </row>
    <row r="188" ht="12.75">
      <c r="K188" s="143"/>
    </row>
    <row r="189" ht="12.75">
      <c r="K189" s="143"/>
    </row>
    <row r="190" ht="12.75">
      <c r="K190" s="143"/>
    </row>
    <row r="191" ht="12.75">
      <c r="K191" s="143"/>
    </row>
    <row r="192" ht="12.75">
      <c r="K192" s="143"/>
    </row>
    <row r="193" ht="12.75">
      <c r="K193" s="143"/>
    </row>
    <row r="194" ht="12.75">
      <c r="K194" s="143"/>
    </row>
  </sheetData>
  <sheetProtection password="995D" sheet="1" objects="1" scenarios="1" selectLockedCells="1" selectUnlockedCells="1"/>
  <mergeCells count="3">
    <mergeCell ref="A1:I3"/>
    <mergeCell ref="A49:G49"/>
    <mergeCell ref="H50:I50"/>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Fairchild Semiconductor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MicSmith</dc:creator>
  <cp:keywords/>
  <dc:description/>
  <cp:lastModifiedBy> </cp:lastModifiedBy>
  <cp:lastPrinted>2010-06-03T21:50:41Z</cp:lastPrinted>
  <dcterms:created xsi:type="dcterms:W3CDTF">2009-03-26T17:26:21Z</dcterms:created>
  <dcterms:modified xsi:type="dcterms:W3CDTF">2010-07-29T02:39:21Z</dcterms:modified>
  <cp:category/>
  <cp:version/>
  <cp:contentType/>
  <cp:contentStatus/>
</cp:coreProperties>
</file>