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725" lockStructure="1"/>
  <bookViews>
    <workbookView xWindow="12150" yWindow="0" windowWidth="13095" windowHeight="12960" firstSheet="7" activeTab="9"/>
  </bookViews>
  <sheets>
    <sheet name="1. Introduction" sheetId="1" r:id="rId1"/>
    <sheet name="2. Design Parameters" sheetId="2" r:id="rId2"/>
    <sheet name="3. Feedback Resistors" sheetId="3" state="hidden" r:id="rId3"/>
    <sheet name="3. Boost Inductor" sheetId="4" r:id="rId4"/>
    <sheet name="4. Current Sense Resistor" sheetId="5" r:id="rId5"/>
    <sheet name="5. Output Capacitors" sheetId="6" r:id="rId6"/>
    <sheet name="Input Capacitor" sheetId="7" state="hidden" r:id="rId7"/>
    <sheet name="6. Diode" sheetId="8" r:id="rId8"/>
    <sheet name="7. MOSFET" sheetId="9" r:id="rId9"/>
    <sheet name="8. Loop Compensation" sheetId="10" r:id="rId10"/>
    <sheet name="Design Information" sheetId="11" state="hidden" r:id="rId11"/>
    <sheet name="Calculations" sheetId="12" state="hidden" r:id="rId12"/>
    <sheet name="Sheet1" sheetId="13" r:id="rId13"/>
  </sheets>
  <definedNames>
    <definedName name="Assumed_Efficiency">'3. Boost Inductor'!$B$2</definedName>
    <definedName name="C0">'8. Loop Compensation'!$T$15</definedName>
    <definedName name="Co">'5. Output Capacitors'!$C$14</definedName>
    <definedName name="comp_C1">'8. Loop Compensation'!$T$23</definedName>
    <definedName name="comp_C2">'8. Loop Compensation'!$T$24</definedName>
    <definedName name="comp_R2">'8. Loop Compensation'!$B$8</definedName>
    <definedName name="D_">'8. Loop Compensation'!$T$1</definedName>
    <definedName name="Dconv_max">Calculations!$D$2</definedName>
    <definedName name="Dmax">'8. Loop Compensation'!$T$10</definedName>
    <definedName name="Dmax_min">'2. Design Parameters'!$B$9</definedName>
    <definedName name="Dmax_nom">'2. Design Parameters'!$C$9</definedName>
    <definedName name="Dp">'8. Loop Compensation'!$T$2</definedName>
    <definedName name="Fsw_max">'2. Design Parameters'!$D$7</definedName>
    <definedName name="Fsw_min">'2. Design Parameters'!$B$7</definedName>
    <definedName name="Fsw_nom">'2. Design Parameters'!$C$7</definedName>
    <definedName name="gm">'8. Loop Compensation'!$T$18</definedName>
    <definedName name="IavgL">'3. Boost Inductor'!$B$3</definedName>
    <definedName name="Ioutmax">'2. Design Parameters'!$D$6</definedName>
    <definedName name="IPeakL">'3. Boost Inductor'!$E$3</definedName>
    <definedName name="Iripple">'3. Boost Inductor'!$B$9</definedName>
    <definedName name="IrmsL">'3. Boost Inductor'!$E$2</definedName>
    <definedName name="Lo">'3. Boost Inductor'!$B$12</definedName>
    <definedName name="M_IC">'8. Loop Compensation'!$T$5</definedName>
    <definedName name="mc">'8. Loop Compensation'!$T$7</definedName>
    <definedName name="PartNumber">'2. Design Parameters'!$H$2:$H$5</definedName>
    <definedName name="R0">'8. Loop Compensation'!$T$16</definedName>
    <definedName name="rCf">'5. Output Capacitors'!$C$15</definedName>
    <definedName name="Rfet">'7. MOSFET'!$B$13</definedName>
    <definedName name="Ri" localSheetId="4">'4. Current Sense Resistor'!$B$11</definedName>
    <definedName name="Ri">'4. Current Sense Resistor'!$B$11</definedName>
    <definedName name="rL">'3. Boost Inductor'!$B$13</definedName>
    <definedName name="Rlower">'3. Feedback Resistors'!$D$8</definedName>
    <definedName name="Rotaesd">'8. Loop Compensation'!$T$17</definedName>
    <definedName name="Rout">'8. Loop Compensation'!$T$8</definedName>
    <definedName name="Rsw_eq">'8. Loop Compensation'!$T$11</definedName>
    <definedName name="Rupper">'3. Feedback Resistors'!$D$7</definedName>
    <definedName name="SC_nom">'2. Design Parameters'!$C$8</definedName>
    <definedName name="Se">'8. Loop Compensation'!$T$9</definedName>
    <definedName name="Sn">'8. Loop Compensation'!$T$6</definedName>
    <definedName name="Tsw">Calculations!$C$3</definedName>
    <definedName name="vcl_max">'2. Design Parameters'!$D$11</definedName>
    <definedName name="vcl_min">'2. Design Parameters'!$B$11</definedName>
    <definedName name="vcl_nom">'2. Design Parameters'!$C$11</definedName>
    <definedName name="Vdrv_nom">'2. Design Parameters'!$C$10</definedName>
    <definedName name="Vf">'6. Diode'!$B$1</definedName>
    <definedName name="Vin_max">'2. Design Parameters'!$D$4</definedName>
    <definedName name="Vin_min">'2. Design Parameters'!$B$4</definedName>
    <definedName name="Vin_nominal">'2. Design Parameters'!$C$4</definedName>
    <definedName name="Vout">'2. Design Parameters'!$C$5</definedName>
    <definedName name="wp1e">'8. Loop Compensation'!$T$21</definedName>
    <definedName name="wp2e">'8. Loop Compensation'!$T$22</definedName>
    <definedName name="wz1e">'8. Loop Compensation'!$T$19</definedName>
    <definedName name="wz2e">'8. Loop Compensation'!$T$20</definedName>
  </definedNames>
  <calcPr calcId="145621"/>
  <customWorkbookViews>
    <customWorkbookView name="ffx7zn - Personal View" guid="{25ED444C-8CCE-464F-9E26-1EDA12EA830D}" mergeInterval="0" personalView="1" maximized="1" xWindow="1" yWindow="1" windowWidth="1481" windowHeight="859" activeSheetId="10"/>
  </customWorkbookViews>
</workbook>
</file>

<file path=xl/calcChain.xml><?xml version="1.0" encoding="utf-8"?>
<calcChain xmlns="http://schemas.openxmlformats.org/spreadsheetml/2006/main">
  <c r="B7" i="10" l="1"/>
  <c r="AB202" i="10"/>
  <c r="AB201" i="10"/>
  <c r="AB200" i="10"/>
  <c r="AB199" i="10"/>
  <c r="AB198" i="10"/>
  <c r="AB197" i="10"/>
  <c r="AB196" i="10"/>
  <c r="AB195" i="10"/>
  <c r="AB194" i="10"/>
  <c r="AB193" i="10"/>
  <c r="AB192" i="10"/>
  <c r="AB191" i="10"/>
  <c r="AB190" i="10"/>
  <c r="AB189" i="10"/>
  <c r="AB188" i="10"/>
  <c r="AB187" i="10"/>
  <c r="AB186" i="10"/>
  <c r="AB185" i="10"/>
  <c r="AB184" i="10"/>
  <c r="AB183" i="10"/>
  <c r="AB182" i="10"/>
  <c r="AB181" i="10"/>
  <c r="AB180" i="10"/>
  <c r="AB179" i="10"/>
  <c r="AB178" i="10"/>
  <c r="AB177" i="10"/>
  <c r="AB176" i="10"/>
  <c r="AB175" i="10"/>
  <c r="AB174" i="10"/>
  <c r="AB173" i="10"/>
  <c r="AB172" i="10"/>
  <c r="AB171" i="10"/>
  <c r="AB170" i="10"/>
  <c r="AB169" i="10"/>
  <c r="AB168" i="10"/>
  <c r="AB167" i="10"/>
  <c r="AB166" i="10"/>
  <c r="AB165" i="10"/>
  <c r="AB164" i="10"/>
  <c r="AB163" i="10"/>
  <c r="AB162" i="10"/>
  <c r="AB161" i="10"/>
  <c r="AB160" i="10"/>
  <c r="AB159" i="10"/>
  <c r="AB158" i="10"/>
  <c r="AB157" i="10"/>
  <c r="AB156" i="10"/>
  <c r="AB155" i="10"/>
  <c r="AB154" i="10"/>
  <c r="AB153" i="10"/>
  <c r="AB152" i="10"/>
  <c r="AB151" i="10"/>
  <c r="AB150" i="10"/>
  <c r="AB149" i="10"/>
  <c r="AB148" i="10"/>
  <c r="AB147" i="10"/>
  <c r="AB146" i="10"/>
  <c r="AB145" i="10"/>
  <c r="AB144" i="10"/>
  <c r="AB143" i="10"/>
  <c r="AB142" i="10"/>
  <c r="AB141" i="10"/>
  <c r="AB140" i="10"/>
  <c r="AB139" i="10"/>
  <c r="AB138" i="10"/>
  <c r="AB137" i="10"/>
  <c r="AB136" i="10"/>
  <c r="AB135" i="10"/>
  <c r="AB134" i="10"/>
  <c r="AB133" i="10"/>
  <c r="AB132" i="10"/>
  <c r="AB131" i="10"/>
  <c r="AB130" i="10"/>
  <c r="AB129" i="10"/>
  <c r="AB128" i="10"/>
  <c r="AB127" i="10"/>
  <c r="AB126" i="10"/>
  <c r="AB125" i="10"/>
  <c r="AB124" i="10"/>
  <c r="AB123" i="10"/>
  <c r="AB122" i="10"/>
  <c r="AB121" i="10"/>
  <c r="AB120" i="10"/>
  <c r="AB119" i="10"/>
  <c r="AB118" i="10"/>
  <c r="AB117" i="10"/>
  <c r="AB116" i="10"/>
  <c r="AB115" i="10"/>
  <c r="AB114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5" i="10"/>
  <c r="AB4" i="10"/>
  <c r="AB3" i="10"/>
  <c r="AB2" i="10"/>
  <c r="B7" i="5"/>
  <c r="B6" i="5"/>
  <c r="C7" i="2" l="1"/>
  <c r="D7" i="2"/>
  <c r="B7" i="2"/>
  <c r="B11" i="2" l="1"/>
  <c r="B4" i="5" s="1"/>
  <c r="D11" i="2"/>
  <c r="C11" i="2"/>
  <c r="C8" i="2"/>
  <c r="C5" i="2"/>
  <c r="B3" i="4" s="1"/>
  <c r="T24" i="10"/>
  <c r="T23" i="10"/>
  <c r="T16" i="10"/>
  <c r="T15" i="10"/>
  <c r="B3" i="6"/>
  <c r="T19" i="10" l="1"/>
  <c r="T22" i="10"/>
  <c r="T21" i="10"/>
  <c r="T20" i="10"/>
  <c r="T3" i="10"/>
  <c r="W2" i="10" s="1"/>
  <c r="B13" i="9"/>
  <c r="B13" i="4"/>
  <c r="D1" i="9"/>
  <c r="B2" i="6"/>
  <c r="T9" i="10"/>
  <c r="E4" i="10"/>
  <c r="B14" i="10"/>
  <c r="B13" i="10"/>
  <c r="B12" i="10"/>
  <c r="D8" i="3"/>
  <c r="D7" i="3"/>
  <c r="Z3" i="10"/>
  <c r="AA3" i="10" s="1"/>
  <c r="Z4" i="10"/>
  <c r="AA4" i="10" s="1"/>
  <c r="Z5" i="10"/>
  <c r="AA5" i="10" s="1"/>
  <c r="Z6" i="10"/>
  <c r="AA6" i="10" s="1"/>
  <c r="Z7" i="10"/>
  <c r="AA7" i="10" s="1"/>
  <c r="Z8" i="10"/>
  <c r="AA8" i="10" s="1"/>
  <c r="Z9" i="10"/>
  <c r="AA9" i="10" s="1"/>
  <c r="Z10" i="10"/>
  <c r="AA10" i="10" s="1"/>
  <c r="Z11" i="10"/>
  <c r="AA11" i="10" s="1"/>
  <c r="Z12" i="10"/>
  <c r="AA12" i="10" s="1"/>
  <c r="Z13" i="10"/>
  <c r="AA13" i="10" s="1"/>
  <c r="Z14" i="10"/>
  <c r="AA14" i="10" s="1"/>
  <c r="Z15" i="10"/>
  <c r="AA15" i="10" s="1"/>
  <c r="Z16" i="10"/>
  <c r="AA16" i="10" s="1"/>
  <c r="Z17" i="10"/>
  <c r="AA17" i="10" s="1"/>
  <c r="Z18" i="10"/>
  <c r="AA18" i="10" s="1"/>
  <c r="Z19" i="10"/>
  <c r="AA19" i="10" s="1"/>
  <c r="Z20" i="10"/>
  <c r="AA20" i="10" s="1"/>
  <c r="Z21" i="10"/>
  <c r="AA21" i="10" s="1"/>
  <c r="Z22" i="10"/>
  <c r="AA22" i="10" s="1"/>
  <c r="Z23" i="10"/>
  <c r="AA23" i="10" s="1"/>
  <c r="Z24" i="10"/>
  <c r="AA24" i="10" s="1"/>
  <c r="Z25" i="10"/>
  <c r="AA25" i="10" s="1"/>
  <c r="Z26" i="10"/>
  <c r="AA26" i="10" s="1"/>
  <c r="Z27" i="10"/>
  <c r="AA27" i="10" s="1"/>
  <c r="Z28" i="10"/>
  <c r="AA28" i="10" s="1"/>
  <c r="Z29" i="10"/>
  <c r="AA29" i="10" s="1"/>
  <c r="Z30" i="10"/>
  <c r="AA30" i="10" s="1"/>
  <c r="Z31" i="10"/>
  <c r="AA31" i="10" s="1"/>
  <c r="Z32" i="10"/>
  <c r="AA32" i="10" s="1"/>
  <c r="Z33" i="10"/>
  <c r="AA33" i="10" s="1"/>
  <c r="Z34" i="10"/>
  <c r="AA34" i="10" s="1"/>
  <c r="Z35" i="10"/>
  <c r="AA35" i="10" s="1"/>
  <c r="Z36" i="10"/>
  <c r="AA36" i="10" s="1"/>
  <c r="Z37" i="10"/>
  <c r="AA37" i="10" s="1"/>
  <c r="Z38" i="10"/>
  <c r="AA38" i="10" s="1"/>
  <c r="Z39" i="10"/>
  <c r="AA39" i="10" s="1"/>
  <c r="Z40" i="10"/>
  <c r="AA40" i="10" s="1"/>
  <c r="Z41" i="10"/>
  <c r="AA41" i="10" s="1"/>
  <c r="Z42" i="10"/>
  <c r="AA42" i="10" s="1"/>
  <c r="Z43" i="10"/>
  <c r="AA43" i="10" s="1"/>
  <c r="Z44" i="10"/>
  <c r="AA44" i="10" s="1"/>
  <c r="Z45" i="10"/>
  <c r="AA45" i="10" s="1"/>
  <c r="Z46" i="10"/>
  <c r="AA46" i="10" s="1"/>
  <c r="Z47" i="10"/>
  <c r="AA47" i="10" s="1"/>
  <c r="Z48" i="10"/>
  <c r="AA48" i="10" s="1"/>
  <c r="Z49" i="10"/>
  <c r="AA49" i="10" s="1"/>
  <c r="Z50" i="10"/>
  <c r="AA50" i="10" s="1"/>
  <c r="Z51" i="10"/>
  <c r="AA51" i="10" s="1"/>
  <c r="Z52" i="10"/>
  <c r="AA52" i="10" s="1"/>
  <c r="Z53" i="10"/>
  <c r="AA53" i="10" s="1"/>
  <c r="Z54" i="10"/>
  <c r="AA54" i="10" s="1"/>
  <c r="Z55" i="10"/>
  <c r="AA55" i="10" s="1"/>
  <c r="Z56" i="10"/>
  <c r="AA56" i="10" s="1"/>
  <c r="Z57" i="10"/>
  <c r="AA57" i="10" s="1"/>
  <c r="Z58" i="10"/>
  <c r="AA58" i="10" s="1"/>
  <c r="Z59" i="10"/>
  <c r="AA59" i="10" s="1"/>
  <c r="Z60" i="10"/>
  <c r="AA60" i="10" s="1"/>
  <c r="Z61" i="10"/>
  <c r="AA61" i="10" s="1"/>
  <c r="Z62" i="10"/>
  <c r="AA62" i="10" s="1"/>
  <c r="Z63" i="10"/>
  <c r="AA63" i="10" s="1"/>
  <c r="Z64" i="10"/>
  <c r="AA64" i="10" s="1"/>
  <c r="Z65" i="10"/>
  <c r="AA65" i="10" s="1"/>
  <c r="Z66" i="10"/>
  <c r="AA66" i="10" s="1"/>
  <c r="Z67" i="10"/>
  <c r="AA67" i="10" s="1"/>
  <c r="Z68" i="10"/>
  <c r="AA68" i="10" s="1"/>
  <c r="Z69" i="10"/>
  <c r="AA69" i="10" s="1"/>
  <c r="Z70" i="10"/>
  <c r="AA70" i="10" s="1"/>
  <c r="Z71" i="10"/>
  <c r="AA71" i="10" s="1"/>
  <c r="Z72" i="10"/>
  <c r="AA72" i="10" s="1"/>
  <c r="Z73" i="10"/>
  <c r="AA73" i="10" s="1"/>
  <c r="Z74" i="10"/>
  <c r="AA74" i="10" s="1"/>
  <c r="Z75" i="10"/>
  <c r="AA75" i="10" s="1"/>
  <c r="Z76" i="10"/>
  <c r="AA76" i="10" s="1"/>
  <c r="Z77" i="10"/>
  <c r="AA77" i="10" s="1"/>
  <c r="Z78" i="10"/>
  <c r="AA78" i="10" s="1"/>
  <c r="Z79" i="10"/>
  <c r="AA79" i="10" s="1"/>
  <c r="Z80" i="10"/>
  <c r="AA80" i="10" s="1"/>
  <c r="Z81" i="10"/>
  <c r="AA81" i="10" s="1"/>
  <c r="Z82" i="10"/>
  <c r="AA82" i="10" s="1"/>
  <c r="Z83" i="10"/>
  <c r="AA83" i="10" s="1"/>
  <c r="Z84" i="10"/>
  <c r="AA84" i="10" s="1"/>
  <c r="Z85" i="10"/>
  <c r="AA85" i="10" s="1"/>
  <c r="Z86" i="10"/>
  <c r="AA86" i="10" s="1"/>
  <c r="Z87" i="10"/>
  <c r="AA87" i="10" s="1"/>
  <c r="Z88" i="10"/>
  <c r="AA88" i="10" s="1"/>
  <c r="Z89" i="10"/>
  <c r="AA89" i="10" s="1"/>
  <c r="Z90" i="10"/>
  <c r="AA90" i="10" s="1"/>
  <c r="Z91" i="10"/>
  <c r="AA91" i="10" s="1"/>
  <c r="Z92" i="10"/>
  <c r="AA92" i="10" s="1"/>
  <c r="Z93" i="10"/>
  <c r="AA93" i="10" s="1"/>
  <c r="Z94" i="10"/>
  <c r="AA94" i="10" s="1"/>
  <c r="Z95" i="10"/>
  <c r="AA95" i="10" s="1"/>
  <c r="Z96" i="10"/>
  <c r="AA96" i="10" s="1"/>
  <c r="Z97" i="10"/>
  <c r="AA97" i="10" s="1"/>
  <c r="Z98" i="10"/>
  <c r="AA98" i="10" s="1"/>
  <c r="Z99" i="10"/>
  <c r="AA99" i="10" s="1"/>
  <c r="Z100" i="10"/>
  <c r="AA100" i="10" s="1"/>
  <c r="Z101" i="10"/>
  <c r="AA101" i="10" s="1"/>
  <c r="Z102" i="10"/>
  <c r="AA102" i="10" s="1"/>
  <c r="Z103" i="10"/>
  <c r="AA103" i="10" s="1"/>
  <c r="Z104" i="10"/>
  <c r="AA104" i="10" s="1"/>
  <c r="Z105" i="10"/>
  <c r="AA105" i="10" s="1"/>
  <c r="Z106" i="10"/>
  <c r="AA106" i="10" s="1"/>
  <c r="Z107" i="10"/>
  <c r="AA107" i="10" s="1"/>
  <c r="Z108" i="10"/>
  <c r="AA108" i="10" s="1"/>
  <c r="Z109" i="10"/>
  <c r="AA109" i="10" s="1"/>
  <c r="Z110" i="10"/>
  <c r="AA110" i="10" s="1"/>
  <c r="Z111" i="10"/>
  <c r="AA111" i="10" s="1"/>
  <c r="Z112" i="10"/>
  <c r="AA112" i="10" s="1"/>
  <c r="Z113" i="10"/>
  <c r="AA113" i="10" s="1"/>
  <c r="Z114" i="10"/>
  <c r="AA114" i="10" s="1"/>
  <c r="Z115" i="10"/>
  <c r="AA115" i="10" s="1"/>
  <c r="Z116" i="10"/>
  <c r="AA116" i="10" s="1"/>
  <c r="Z117" i="10"/>
  <c r="AA117" i="10" s="1"/>
  <c r="Z118" i="10"/>
  <c r="AA118" i="10" s="1"/>
  <c r="Z119" i="10"/>
  <c r="AA119" i="10" s="1"/>
  <c r="Z120" i="10"/>
  <c r="AA120" i="10" s="1"/>
  <c r="Z121" i="10"/>
  <c r="AA121" i="10" s="1"/>
  <c r="Z122" i="10"/>
  <c r="AA122" i="10" s="1"/>
  <c r="Z123" i="10"/>
  <c r="AA123" i="10" s="1"/>
  <c r="Z124" i="10"/>
  <c r="AA124" i="10" s="1"/>
  <c r="Z125" i="10"/>
  <c r="AA125" i="10" s="1"/>
  <c r="Z126" i="10"/>
  <c r="AA126" i="10" s="1"/>
  <c r="Z127" i="10"/>
  <c r="AA127" i="10" s="1"/>
  <c r="Z128" i="10"/>
  <c r="AA128" i="10" s="1"/>
  <c r="Z129" i="10"/>
  <c r="AA129" i="10" s="1"/>
  <c r="Z130" i="10"/>
  <c r="AA130" i="10" s="1"/>
  <c r="Z131" i="10"/>
  <c r="AA131" i="10" s="1"/>
  <c r="Z132" i="10"/>
  <c r="AA132" i="10" s="1"/>
  <c r="Z133" i="10"/>
  <c r="AA133" i="10" s="1"/>
  <c r="Z134" i="10"/>
  <c r="AA134" i="10" s="1"/>
  <c r="Z135" i="10"/>
  <c r="AA135" i="10" s="1"/>
  <c r="Z136" i="10"/>
  <c r="AA136" i="10" s="1"/>
  <c r="Z137" i="10"/>
  <c r="AA137" i="10" s="1"/>
  <c r="Z138" i="10"/>
  <c r="AA138" i="10" s="1"/>
  <c r="Z139" i="10"/>
  <c r="AA139" i="10" s="1"/>
  <c r="Z140" i="10"/>
  <c r="AA140" i="10" s="1"/>
  <c r="Z141" i="10"/>
  <c r="AA141" i="10" s="1"/>
  <c r="Z142" i="10"/>
  <c r="AA142" i="10" s="1"/>
  <c r="Z143" i="10"/>
  <c r="AA143" i="10" s="1"/>
  <c r="Z144" i="10"/>
  <c r="AA144" i="10" s="1"/>
  <c r="Z145" i="10"/>
  <c r="AA145" i="10" s="1"/>
  <c r="Z146" i="10"/>
  <c r="AA146" i="10" s="1"/>
  <c r="Z147" i="10"/>
  <c r="AA147" i="10" s="1"/>
  <c r="Z148" i="10"/>
  <c r="AA148" i="10" s="1"/>
  <c r="Z149" i="10"/>
  <c r="AA149" i="10" s="1"/>
  <c r="Z150" i="10"/>
  <c r="AA150" i="10" s="1"/>
  <c r="Z151" i="10"/>
  <c r="AA151" i="10" s="1"/>
  <c r="Z152" i="10"/>
  <c r="AA152" i="10" s="1"/>
  <c r="Z153" i="10"/>
  <c r="AA153" i="10" s="1"/>
  <c r="Z154" i="10"/>
  <c r="AA154" i="10" s="1"/>
  <c r="Z155" i="10"/>
  <c r="AA155" i="10" s="1"/>
  <c r="Z156" i="10"/>
  <c r="AA156" i="10" s="1"/>
  <c r="Z157" i="10"/>
  <c r="AA157" i="10" s="1"/>
  <c r="Z158" i="10"/>
  <c r="AA158" i="10" s="1"/>
  <c r="Z159" i="10"/>
  <c r="AA159" i="10" s="1"/>
  <c r="Z160" i="10"/>
  <c r="AA160" i="10" s="1"/>
  <c r="Z161" i="10"/>
  <c r="AA161" i="10" s="1"/>
  <c r="Z162" i="10"/>
  <c r="AA162" i="10" s="1"/>
  <c r="Z163" i="10"/>
  <c r="AA163" i="10" s="1"/>
  <c r="Z164" i="10"/>
  <c r="AA164" i="10" s="1"/>
  <c r="Z165" i="10"/>
  <c r="AA165" i="10" s="1"/>
  <c r="Z166" i="10"/>
  <c r="AA166" i="10" s="1"/>
  <c r="Z167" i="10"/>
  <c r="AA167" i="10" s="1"/>
  <c r="Z168" i="10"/>
  <c r="AA168" i="10" s="1"/>
  <c r="Z169" i="10"/>
  <c r="AA169" i="10" s="1"/>
  <c r="Z170" i="10"/>
  <c r="AA170" i="10" s="1"/>
  <c r="Z171" i="10"/>
  <c r="AA171" i="10" s="1"/>
  <c r="Z172" i="10"/>
  <c r="AA172" i="10" s="1"/>
  <c r="Z173" i="10"/>
  <c r="AA173" i="10" s="1"/>
  <c r="Z174" i="10"/>
  <c r="AA174" i="10" s="1"/>
  <c r="Z175" i="10"/>
  <c r="AA175" i="10" s="1"/>
  <c r="Z176" i="10"/>
  <c r="AA176" i="10" s="1"/>
  <c r="Z177" i="10"/>
  <c r="AA177" i="10" s="1"/>
  <c r="Z178" i="10"/>
  <c r="AA178" i="10" s="1"/>
  <c r="Z179" i="10"/>
  <c r="AA179" i="10" s="1"/>
  <c r="Z180" i="10"/>
  <c r="AA180" i="10" s="1"/>
  <c r="Z181" i="10"/>
  <c r="AA181" i="10" s="1"/>
  <c r="Z182" i="10"/>
  <c r="AA182" i="10" s="1"/>
  <c r="Z183" i="10"/>
  <c r="AA183" i="10" s="1"/>
  <c r="Z184" i="10"/>
  <c r="AA184" i="10" s="1"/>
  <c r="Z185" i="10"/>
  <c r="AA185" i="10" s="1"/>
  <c r="Z186" i="10"/>
  <c r="AA186" i="10" s="1"/>
  <c r="Z187" i="10"/>
  <c r="AA187" i="10" s="1"/>
  <c r="Z188" i="10"/>
  <c r="AA188" i="10" s="1"/>
  <c r="Z189" i="10"/>
  <c r="AA189" i="10" s="1"/>
  <c r="Z190" i="10"/>
  <c r="AA190" i="10" s="1"/>
  <c r="Z191" i="10"/>
  <c r="AA191" i="10" s="1"/>
  <c r="Z192" i="10"/>
  <c r="AA192" i="10" s="1"/>
  <c r="Z193" i="10"/>
  <c r="AA193" i="10" s="1"/>
  <c r="Z194" i="10"/>
  <c r="AA194" i="10" s="1"/>
  <c r="Z195" i="10"/>
  <c r="AA195" i="10" s="1"/>
  <c r="Z196" i="10"/>
  <c r="AA196" i="10" s="1"/>
  <c r="Z197" i="10"/>
  <c r="AA197" i="10" s="1"/>
  <c r="Z198" i="10"/>
  <c r="AA198" i="10" s="1"/>
  <c r="Z199" i="10"/>
  <c r="AA199" i="10" s="1"/>
  <c r="Z200" i="10"/>
  <c r="AA200" i="10" s="1"/>
  <c r="Z201" i="10"/>
  <c r="AA201" i="10" s="1"/>
  <c r="Z202" i="10"/>
  <c r="AA202" i="10" s="1"/>
  <c r="Z2" i="10"/>
  <c r="AA2" i="10" s="1"/>
  <c r="C3" i="12"/>
  <c r="B3" i="8"/>
  <c r="B5" i="8" s="1"/>
  <c r="B4" i="6"/>
  <c r="C15" i="6"/>
  <c r="W4" i="10" s="1"/>
  <c r="C14" i="6"/>
  <c r="B11" i="5"/>
  <c r="B12" i="4"/>
  <c r="A8" i="3"/>
  <c r="B10" i="3"/>
  <c r="A9" i="3"/>
  <c r="A7" i="3"/>
  <c r="T11" i="10" l="1"/>
  <c r="AL32" i="10"/>
  <c r="B2" i="12"/>
  <c r="AK2" i="10"/>
  <c r="T4" i="10"/>
  <c r="T6" i="10"/>
  <c r="T7" i="10" s="1"/>
  <c r="T8" i="10"/>
  <c r="AL43" i="10"/>
  <c r="AL78" i="10"/>
  <c r="AL142" i="10"/>
  <c r="AL95" i="10"/>
  <c r="AL89" i="10"/>
  <c r="AL199" i="10"/>
  <c r="AL160" i="10"/>
  <c r="AL25" i="10"/>
  <c r="AL14" i="10"/>
  <c r="AL153" i="10"/>
  <c r="AL98" i="10"/>
  <c r="AL139" i="10"/>
  <c r="AL72" i="10"/>
  <c r="AL109" i="10"/>
  <c r="AL20" i="10"/>
  <c r="AL174" i="10"/>
  <c r="AL110" i="10"/>
  <c r="AL46" i="10"/>
  <c r="AL163" i="10"/>
  <c r="AL31" i="10"/>
  <c r="AL96" i="10"/>
  <c r="AL185" i="10"/>
  <c r="AL121" i="10"/>
  <c r="AL57" i="10"/>
  <c r="AL202" i="10"/>
  <c r="AL162" i="10"/>
  <c r="AL34" i="10"/>
  <c r="AL7" i="10"/>
  <c r="AL173" i="10"/>
  <c r="AL45" i="10"/>
  <c r="AL194" i="10"/>
  <c r="AL130" i="10"/>
  <c r="AL66" i="10"/>
  <c r="AL2" i="10"/>
  <c r="AL75" i="10"/>
  <c r="AL136" i="10"/>
  <c r="AL8" i="10"/>
  <c r="AL141" i="10"/>
  <c r="AL77" i="10"/>
  <c r="AL13" i="10"/>
  <c r="AL71" i="10"/>
  <c r="AL190" i="10"/>
  <c r="AL158" i="10"/>
  <c r="AL126" i="10"/>
  <c r="AL94" i="10"/>
  <c r="AL62" i="10"/>
  <c r="AL30" i="10"/>
  <c r="AL195" i="10"/>
  <c r="AL131" i="10"/>
  <c r="AL63" i="10"/>
  <c r="AL196" i="10"/>
  <c r="AL128" i="10"/>
  <c r="AL64" i="10"/>
  <c r="AL201" i="10"/>
  <c r="AL169" i="10"/>
  <c r="AL137" i="10"/>
  <c r="AL105" i="10"/>
  <c r="AL73" i="10"/>
  <c r="AL41" i="10"/>
  <c r="AL9" i="10"/>
  <c r="AL175" i="10"/>
  <c r="AL156" i="10"/>
  <c r="AL28" i="10"/>
  <c r="AL178" i="10"/>
  <c r="AL146" i="10"/>
  <c r="AL114" i="10"/>
  <c r="AL82" i="10"/>
  <c r="AL50" i="10"/>
  <c r="AL18" i="10"/>
  <c r="AL171" i="10"/>
  <c r="AL103" i="10"/>
  <c r="AL39" i="10"/>
  <c r="AL168" i="10"/>
  <c r="AL104" i="10"/>
  <c r="AL40" i="10"/>
  <c r="AL189" i="10"/>
  <c r="AL157" i="10"/>
  <c r="AL125" i="10"/>
  <c r="AL93" i="10"/>
  <c r="AL61" i="10"/>
  <c r="AL29" i="10"/>
  <c r="AL167" i="10"/>
  <c r="AL124" i="10"/>
  <c r="AL135" i="10"/>
  <c r="AL11" i="10"/>
  <c r="AL92" i="10"/>
  <c r="AL107" i="10"/>
  <c r="AL188" i="10"/>
  <c r="AL60" i="10"/>
  <c r="AM201" i="10"/>
  <c r="AM197" i="10"/>
  <c r="AM193" i="10"/>
  <c r="AM189" i="10"/>
  <c r="AM185" i="10"/>
  <c r="AM181" i="10"/>
  <c r="AM177" i="10"/>
  <c r="AM173" i="10"/>
  <c r="AM169" i="10"/>
  <c r="AM165" i="10"/>
  <c r="AM161" i="10"/>
  <c r="AM157" i="10"/>
  <c r="AM153" i="10"/>
  <c r="AM149" i="10"/>
  <c r="AM145" i="10"/>
  <c r="AM141" i="10"/>
  <c r="AM137" i="10"/>
  <c r="AM133" i="10"/>
  <c r="AM129" i="10"/>
  <c r="AM125" i="10"/>
  <c r="AM121" i="10"/>
  <c r="AM117" i="10"/>
  <c r="AM113" i="10"/>
  <c r="AM109" i="10"/>
  <c r="AM105" i="10"/>
  <c r="AM101" i="10"/>
  <c r="AM97" i="10"/>
  <c r="AM93" i="10"/>
  <c r="AM89" i="10"/>
  <c r="AM85" i="10"/>
  <c r="AM81" i="10"/>
  <c r="AM77" i="10"/>
  <c r="AM73" i="10"/>
  <c r="AM69" i="10"/>
  <c r="AM65" i="10"/>
  <c r="AM61" i="10"/>
  <c r="AM57" i="10"/>
  <c r="AM53" i="10"/>
  <c r="AM49" i="10"/>
  <c r="AM45" i="10"/>
  <c r="AM41" i="10"/>
  <c r="AM37" i="10"/>
  <c r="AM33" i="10"/>
  <c r="AM29" i="10"/>
  <c r="AM25" i="10"/>
  <c r="AM21" i="10"/>
  <c r="AM17" i="10"/>
  <c r="AM13" i="10"/>
  <c r="AM9" i="10"/>
  <c r="AM5" i="10"/>
  <c r="AM190" i="10"/>
  <c r="AM166" i="10"/>
  <c r="AM158" i="10"/>
  <c r="AM150" i="10"/>
  <c r="AM142" i="10"/>
  <c r="AM134" i="10"/>
  <c r="AM126" i="10"/>
  <c r="AM118" i="10"/>
  <c r="AM110" i="10"/>
  <c r="AM102" i="10"/>
  <c r="AM94" i="10"/>
  <c r="AM86" i="10"/>
  <c r="AM78" i="10"/>
  <c r="AM70" i="10"/>
  <c r="AM62" i="10"/>
  <c r="AM54" i="10"/>
  <c r="AM46" i="10"/>
  <c r="AM38" i="10"/>
  <c r="AM30" i="10"/>
  <c r="AM22" i="10"/>
  <c r="AM18" i="10"/>
  <c r="AM10" i="10"/>
  <c r="AM2" i="10"/>
  <c r="AM195" i="10"/>
  <c r="AM191" i="10"/>
  <c r="AM183" i="10"/>
  <c r="AM175" i="10"/>
  <c r="AM167" i="10"/>
  <c r="AM159" i="10"/>
  <c r="AM151" i="10"/>
  <c r="AM143" i="10"/>
  <c r="AM135" i="10"/>
  <c r="AM127" i="10"/>
  <c r="AM119" i="10"/>
  <c r="AM111" i="10"/>
  <c r="AM103" i="10"/>
  <c r="AM95" i="10"/>
  <c r="AM87" i="10"/>
  <c r="AM79" i="10"/>
  <c r="AM71" i="10"/>
  <c r="AM63" i="10"/>
  <c r="AM55" i="10"/>
  <c r="AM47" i="10"/>
  <c r="AM39" i="10"/>
  <c r="AM31" i="10"/>
  <c r="AM23" i="10"/>
  <c r="AM15" i="10"/>
  <c r="AM11" i="10"/>
  <c r="AM3" i="10"/>
  <c r="AM200" i="10"/>
  <c r="AM196" i="10"/>
  <c r="AM192" i="10"/>
  <c r="AM188" i="10"/>
  <c r="AM184" i="10"/>
  <c r="AM180" i="10"/>
  <c r="AM176" i="10"/>
  <c r="AM172" i="10"/>
  <c r="AM168" i="10"/>
  <c r="AM164" i="10"/>
  <c r="AM160" i="10"/>
  <c r="AM156" i="10"/>
  <c r="AM152" i="10"/>
  <c r="AM148" i="10"/>
  <c r="AM144" i="10"/>
  <c r="AM140" i="10"/>
  <c r="AM136" i="10"/>
  <c r="AM132" i="10"/>
  <c r="AM128" i="10"/>
  <c r="AM124" i="10"/>
  <c r="AM120" i="10"/>
  <c r="AM116" i="10"/>
  <c r="AM112" i="10"/>
  <c r="AM108" i="10"/>
  <c r="AM104" i="10"/>
  <c r="AM100" i="10"/>
  <c r="AM96" i="10"/>
  <c r="AM92" i="10"/>
  <c r="AM88" i="10"/>
  <c r="AM84" i="10"/>
  <c r="AM80" i="10"/>
  <c r="AM76" i="10"/>
  <c r="AM72" i="10"/>
  <c r="AM68" i="10"/>
  <c r="AM64" i="10"/>
  <c r="AM60" i="10"/>
  <c r="AM56" i="10"/>
  <c r="AM52" i="10"/>
  <c r="AM48" i="10"/>
  <c r="AM44" i="10"/>
  <c r="AM40" i="10"/>
  <c r="AM36" i="10"/>
  <c r="AM32" i="10"/>
  <c r="AM28" i="10"/>
  <c r="AM24" i="10"/>
  <c r="AM20" i="10"/>
  <c r="AM16" i="10"/>
  <c r="AM12" i="10"/>
  <c r="AM8" i="10"/>
  <c r="AM4" i="10"/>
  <c r="AM202" i="10"/>
  <c r="AM198" i="10"/>
  <c r="AM194" i="10"/>
  <c r="AM186" i="10"/>
  <c r="AM182" i="10"/>
  <c r="AM178" i="10"/>
  <c r="AM174" i="10"/>
  <c r="AM170" i="10"/>
  <c r="AM162" i="10"/>
  <c r="AM154" i="10"/>
  <c r="AM146" i="10"/>
  <c r="AM138" i="10"/>
  <c r="AM130" i="10"/>
  <c r="AM122" i="10"/>
  <c r="AM114" i="10"/>
  <c r="AM106" i="10"/>
  <c r="AM98" i="10"/>
  <c r="AM90" i="10"/>
  <c r="AM82" i="10"/>
  <c r="AM74" i="10"/>
  <c r="AM66" i="10"/>
  <c r="AM58" i="10"/>
  <c r="AM50" i="10"/>
  <c r="AM42" i="10"/>
  <c r="AM34" i="10"/>
  <c r="AM26" i="10"/>
  <c r="AM14" i="10"/>
  <c r="AM6" i="10"/>
  <c r="AM199" i="10"/>
  <c r="AM187" i="10"/>
  <c r="AM179" i="10"/>
  <c r="AM171" i="10"/>
  <c r="AM163" i="10"/>
  <c r="AM155" i="10"/>
  <c r="AM147" i="10"/>
  <c r="AM139" i="10"/>
  <c r="AM131" i="10"/>
  <c r="AM123" i="10"/>
  <c r="AM115" i="10"/>
  <c r="AM107" i="10"/>
  <c r="AM99" i="10"/>
  <c r="AM91" i="10"/>
  <c r="AM83" i="10"/>
  <c r="AM75" i="10"/>
  <c r="AM67" i="10"/>
  <c r="AM59" i="10"/>
  <c r="AM51" i="10"/>
  <c r="AM43" i="10"/>
  <c r="AM35" i="10"/>
  <c r="AM27" i="10"/>
  <c r="AM19" i="10"/>
  <c r="AM7" i="10"/>
  <c r="AL143" i="10"/>
  <c r="AL79" i="10"/>
  <c r="AL19" i="10"/>
  <c r="AL164" i="10"/>
  <c r="AL100" i="10"/>
  <c r="AL36" i="10"/>
  <c r="AL198" i="10"/>
  <c r="AL182" i="10"/>
  <c r="AL166" i="10"/>
  <c r="AL150" i="10"/>
  <c r="AL134" i="10"/>
  <c r="AL118" i="10"/>
  <c r="AL102" i="10"/>
  <c r="AL86" i="10"/>
  <c r="AL70" i="10"/>
  <c r="AL54" i="10"/>
  <c r="AL38" i="10"/>
  <c r="AL22" i="10"/>
  <c r="AL6" i="10"/>
  <c r="AL179" i="10"/>
  <c r="AL147" i="10"/>
  <c r="AL115" i="10"/>
  <c r="AL83" i="10"/>
  <c r="AL47" i="10"/>
  <c r="AL15" i="10"/>
  <c r="AL176" i="10"/>
  <c r="AL144" i="10"/>
  <c r="AL112" i="10"/>
  <c r="AL80" i="10"/>
  <c r="AL48" i="10"/>
  <c r="AL16" i="10"/>
  <c r="AL193" i="10"/>
  <c r="AL177" i="10"/>
  <c r="AL161" i="10"/>
  <c r="AL145" i="10"/>
  <c r="AL129" i="10"/>
  <c r="AL113" i="10"/>
  <c r="AL97" i="10"/>
  <c r="AL81" i="10"/>
  <c r="AL65" i="10"/>
  <c r="AL49" i="10"/>
  <c r="AL33" i="10"/>
  <c r="AL17" i="10"/>
  <c r="AL183" i="10"/>
  <c r="AL151" i="10"/>
  <c r="AL119" i="10"/>
  <c r="AL91" i="10"/>
  <c r="AL59" i="10"/>
  <c r="AL27" i="10"/>
  <c r="AL200" i="10"/>
  <c r="AL172" i="10"/>
  <c r="AL140" i="10"/>
  <c r="AL108" i="10"/>
  <c r="AL76" i="10"/>
  <c r="AL44" i="10"/>
  <c r="AL12" i="10"/>
  <c r="AL111" i="10"/>
  <c r="AL51" i="10"/>
  <c r="AL192" i="10"/>
  <c r="AL132" i="10"/>
  <c r="AL68" i="10"/>
  <c r="AL4" i="10"/>
  <c r="AL186" i="10"/>
  <c r="AL170" i="10"/>
  <c r="AL154" i="10"/>
  <c r="AL138" i="10"/>
  <c r="AL122" i="10"/>
  <c r="AL106" i="10"/>
  <c r="AL90" i="10"/>
  <c r="AL74" i="10"/>
  <c r="AL58" i="10"/>
  <c r="AL42" i="10"/>
  <c r="AL26" i="10"/>
  <c r="AL10" i="10"/>
  <c r="AL187" i="10"/>
  <c r="AL155" i="10"/>
  <c r="AL123" i="10"/>
  <c r="AL87" i="10"/>
  <c r="AL55" i="10"/>
  <c r="AL23" i="10"/>
  <c r="AL184" i="10"/>
  <c r="AL152" i="10"/>
  <c r="AL120" i="10"/>
  <c r="AL88" i="10"/>
  <c r="AL56" i="10"/>
  <c r="AL24" i="10"/>
  <c r="AL197" i="10"/>
  <c r="AL181" i="10"/>
  <c r="AL165" i="10"/>
  <c r="AL149" i="10"/>
  <c r="AL133" i="10"/>
  <c r="AL117" i="10"/>
  <c r="AL101" i="10"/>
  <c r="AL85" i="10"/>
  <c r="AL69" i="10"/>
  <c r="AL53" i="10"/>
  <c r="AL37" i="10"/>
  <c r="AL21" i="10"/>
  <c r="AL5" i="10"/>
  <c r="AL191" i="10"/>
  <c r="AL159" i="10"/>
  <c r="AL127" i="10"/>
  <c r="AL99" i="10"/>
  <c r="AL67" i="10"/>
  <c r="AL35" i="10"/>
  <c r="AL3" i="10"/>
  <c r="AL180" i="10"/>
  <c r="AL148" i="10"/>
  <c r="AL116" i="10"/>
  <c r="AL84" i="10"/>
  <c r="AL52" i="10"/>
  <c r="B8" i="3"/>
  <c r="B3" i="9"/>
  <c r="B2" i="8"/>
  <c r="B9" i="4"/>
  <c r="C2" i="12"/>
  <c r="B6" i="4"/>
  <c r="D2" i="12"/>
  <c r="T1" i="10" l="1"/>
  <c r="T2" i="10" s="1"/>
  <c r="AN55" i="10"/>
  <c r="AO55" i="10" s="1"/>
  <c r="AR55" i="10" s="1"/>
  <c r="AN83" i="10"/>
  <c r="AO83" i="10" s="1"/>
  <c r="AR83" i="10" s="1"/>
  <c r="AN134" i="10"/>
  <c r="AP134" i="10" s="1"/>
  <c r="AN14" i="10"/>
  <c r="AP14" i="10" s="1"/>
  <c r="AN146" i="10"/>
  <c r="AO146" i="10" s="1"/>
  <c r="AR146" i="10" s="1"/>
  <c r="AN8" i="10"/>
  <c r="AO8" i="10" s="1"/>
  <c r="AR8" i="10" s="1"/>
  <c r="AN136" i="10"/>
  <c r="AO136" i="10" s="1"/>
  <c r="AR136" i="10" s="1"/>
  <c r="AN13" i="10"/>
  <c r="AO13" i="10" s="1"/>
  <c r="AR13" i="10" s="1"/>
  <c r="AN61" i="10"/>
  <c r="AP61" i="10" s="1"/>
  <c r="AN173" i="10"/>
  <c r="AP173" i="10" s="1"/>
  <c r="AN120" i="10"/>
  <c r="AO120" i="10" s="1"/>
  <c r="AR120" i="10" s="1"/>
  <c r="AN70" i="10"/>
  <c r="AP70" i="10" s="1"/>
  <c r="AN19" i="10"/>
  <c r="AP19" i="10" s="1"/>
  <c r="AN50" i="10"/>
  <c r="AP50" i="10" s="1"/>
  <c r="AN174" i="10"/>
  <c r="AP174" i="10" s="1"/>
  <c r="AN72" i="10"/>
  <c r="AP72" i="10" s="1"/>
  <c r="AN168" i="10"/>
  <c r="AP168" i="10" s="1"/>
  <c r="AN29" i="10"/>
  <c r="AO29" i="10" s="1"/>
  <c r="AR29" i="10" s="1"/>
  <c r="AN157" i="10"/>
  <c r="AO157" i="10" s="1"/>
  <c r="AR157" i="10" s="1"/>
  <c r="AN67" i="10"/>
  <c r="AO67" i="10" s="1"/>
  <c r="AR67" i="10" s="1"/>
  <c r="AN117" i="10"/>
  <c r="AO117" i="10" s="1"/>
  <c r="AR117" i="10" s="1"/>
  <c r="AN42" i="10"/>
  <c r="AP42" i="10" s="1"/>
  <c r="AN106" i="10"/>
  <c r="AP106" i="10" s="1"/>
  <c r="AN132" i="10"/>
  <c r="AO132" i="10" s="1"/>
  <c r="AR132" i="10" s="1"/>
  <c r="AN47" i="10"/>
  <c r="AP47" i="10" s="1"/>
  <c r="AN118" i="10"/>
  <c r="AO118" i="10" s="1"/>
  <c r="AR118" i="10" s="1"/>
  <c r="AN164" i="10"/>
  <c r="AO164" i="10" s="1"/>
  <c r="AR164" i="10" s="1"/>
  <c r="AN43" i="10"/>
  <c r="AN126" i="10"/>
  <c r="AO126" i="10" s="1"/>
  <c r="AR126" i="10" s="1"/>
  <c r="AN25" i="10"/>
  <c r="AO25" i="10" s="1"/>
  <c r="AR25" i="10" s="1"/>
  <c r="AN137" i="10"/>
  <c r="AO137" i="10" s="1"/>
  <c r="AR137" i="10" s="1"/>
  <c r="B5" i="4"/>
  <c r="D9" i="4" s="1"/>
  <c r="AN3" i="10"/>
  <c r="AO3" i="10" s="1"/>
  <c r="AR3" i="10" s="1"/>
  <c r="AN127" i="10"/>
  <c r="AP127" i="10" s="1"/>
  <c r="AN76" i="10"/>
  <c r="AO76" i="10" s="1"/>
  <c r="AR76" i="10" s="1"/>
  <c r="AN33" i="10"/>
  <c r="AO33" i="10" s="1"/>
  <c r="AR33" i="10" s="1"/>
  <c r="AN97" i="10"/>
  <c r="AP97" i="10" s="1"/>
  <c r="AN161" i="10"/>
  <c r="AP161" i="10" s="1"/>
  <c r="B6" i="9"/>
  <c r="AN148" i="10"/>
  <c r="AO148" i="10" s="1"/>
  <c r="AR148" i="10" s="1"/>
  <c r="AN53" i="10"/>
  <c r="AN181" i="10"/>
  <c r="AP181" i="10" s="1"/>
  <c r="AN170" i="10"/>
  <c r="AO170" i="10" s="1"/>
  <c r="AR170" i="10" s="1"/>
  <c r="AN112" i="10"/>
  <c r="AO112" i="10" s="1"/>
  <c r="AR112" i="10" s="1"/>
  <c r="AN54" i="10"/>
  <c r="AP54" i="10" s="1"/>
  <c r="AN182" i="10"/>
  <c r="AO182" i="10" s="1"/>
  <c r="AR182" i="10" s="1"/>
  <c r="AN7" i="10"/>
  <c r="AP7" i="10" s="1"/>
  <c r="AN139" i="10"/>
  <c r="AO139" i="10" s="1"/>
  <c r="AR139" i="10" s="1"/>
  <c r="AN9" i="10"/>
  <c r="AP9" i="10" s="1"/>
  <c r="AN57" i="10"/>
  <c r="AP57" i="10" s="1"/>
  <c r="AN35" i="10"/>
  <c r="AO35" i="10" s="1"/>
  <c r="AR35" i="10" s="1"/>
  <c r="AN37" i="10"/>
  <c r="AP37" i="10" s="1"/>
  <c r="AN101" i="10"/>
  <c r="AP101" i="10" s="1"/>
  <c r="AN165" i="10"/>
  <c r="AP165" i="10" s="1"/>
  <c r="AN80" i="10"/>
  <c r="AP80" i="10" s="1"/>
  <c r="AN32" i="10"/>
  <c r="AO32" i="10" s="1"/>
  <c r="AR32" i="10" s="1"/>
  <c r="AN66" i="10"/>
  <c r="AO66" i="10" s="1"/>
  <c r="AR66" i="10" s="1"/>
  <c r="AN202" i="10"/>
  <c r="AP202" i="10" s="1"/>
  <c r="AN64" i="10"/>
  <c r="AO64" i="10" s="1"/>
  <c r="AR64" i="10" s="1"/>
  <c r="AN96" i="10"/>
  <c r="AO96" i="10" s="1"/>
  <c r="AR96" i="10" s="1"/>
  <c r="AN71" i="10"/>
  <c r="AO71" i="10" s="1"/>
  <c r="AR71" i="10" s="1"/>
  <c r="AN131" i="10"/>
  <c r="AO131" i="10" s="1"/>
  <c r="AR131" i="10" s="1"/>
  <c r="AN18" i="10"/>
  <c r="AP18" i="10" s="1"/>
  <c r="AN110" i="10"/>
  <c r="AP110" i="10" s="1"/>
  <c r="AN175" i="10"/>
  <c r="AP175" i="10" s="1"/>
  <c r="AN94" i="10"/>
  <c r="AO94" i="10" s="1"/>
  <c r="AR94" i="10" s="1"/>
  <c r="AN89" i="10"/>
  <c r="AP89" i="10" s="1"/>
  <c r="AN105" i="10"/>
  <c r="AO105" i="10" s="1"/>
  <c r="AR105" i="10" s="1"/>
  <c r="AN21" i="10"/>
  <c r="AP21" i="10" s="1"/>
  <c r="AN85" i="10"/>
  <c r="AP85" i="10" s="1"/>
  <c r="AN149" i="10"/>
  <c r="AP149" i="10" s="1"/>
  <c r="AN48" i="10"/>
  <c r="AO48" i="10" s="1"/>
  <c r="AR48" i="10" s="1"/>
  <c r="AN176" i="10"/>
  <c r="AP176" i="10" s="1"/>
  <c r="AN22" i="10"/>
  <c r="AP22" i="10" s="1"/>
  <c r="AN86" i="10"/>
  <c r="AO86" i="10" s="1"/>
  <c r="AR86" i="10" s="1"/>
  <c r="AN150" i="10"/>
  <c r="AP150" i="10" s="1"/>
  <c r="AN156" i="10"/>
  <c r="AO156" i="10" s="1"/>
  <c r="AR156" i="10" s="1"/>
  <c r="AN63" i="10"/>
  <c r="AO63" i="10" s="1"/>
  <c r="AR63" i="10" s="1"/>
  <c r="AN46" i="10"/>
  <c r="AP46" i="10" s="1"/>
  <c r="AN78" i="10"/>
  <c r="AP78" i="10" s="1"/>
  <c r="AN190" i="10"/>
  <c r="AO190" i="10" s="1"/>
  <c r="AR190" i="10" s="1"/>
  <c r="AN52" i="10"/>
  <c r="AN180" i="10"/>
  <c r="AP180" i="10" s="1"/>
  <c r="AN99" i="10"/>
  <c r="AP99" i="10" s="1"/>
  <c r="AN5" i="10"/>
  <c r="AP5" i="10" s="1"/>
  <c r="AN69" i="10"/>
  <c r="AO69" i="10" s="1"/>
  <c r="AR69" i="10" s="1"/>
  <c r="AN133" i="10"/>
  <c r="AO133" i="10" s="1"/>
  <c r="AR133" i="10" s="1"/>
  <c r="AN197" i="10"/>
  <c r="AP197" i="10" s="1"/>
  <c r="AN192" i="10"/>
  <c r="AO192" i="10" s="1"/>
  <c r="AR192" i="10" s="1"/>
  <c r="AN16" i="10"/>
  <c r="AO16" i="10" s="1"/>
  <c r="AR16" i="10" s="1"/>
  <c r="AN144" i="10"/>
  <c r="AO144" i="10" s="1"/>
  <c r="AR144" i="10" s="1"/>
  <c r="AN82" i="10"/>
  <c r="AP82" i="10" s="1"/>
  <c r="AN194" i="10"/>
  <c r="AP194" i="10" s="1"/>
  <c r="AN40" i="10"/>
  <c r="AP40" i="10" s="1"/>
  <c r="AN77" i="10"/>
  <c r="AP77" i="10" s="1"/>
  <c r="AN93" i="10"/>
  <c r="AP93" i="10" s="1"/>
  <c r="AN186" i="10"/>
  <c r="AO186" i="10" s="1"/>
  <c r="AR186" i="10" s="1"/>
  <c r="AN6" i="10"/>
  <c r="AO6" i="10" s="1"/>
  <c r="AR6" i="10" s="1"/>
  <c r="AN45" i="10"/>
  <c r="AO45" i="10" s="1"/>
  <c r="AR45" i="10" s="1"/>
  <c r="AN109" i="10"/>
  <c r="AO109" i="10" s="1"/>
  <c r="AR109" i="10" s="1"/>
  <c r="AN141" i="10"/>
  <c r="AP141" i="10" s="1"/>
  <c r="AN189" i="10"/>
  <c r="AP189" i="10" s="1"/>
  <c r="AN2" i="10"/>
  <c r="AP2" i="10" s="1"/>
  <c r="AN153" i="10"/>
  <c r="AP153" i="10" s="1"/>
  <c r="AN185" i="10"/>
  <c r="AO185" i="10" s="1"/>
  <c r="AR185" i="10" s="1"/>
  <c r="AN199" i="10"/>
  <c r="AP199" i="10" s="1"/>
  <c r="AN162" i="10"/>
  <c r="AP162" i="10" s="1"/>
  <c r="AN160" i="10"/>
  <c r="AP160" i="10" s="1"/>
  <c r="AN95" i="10"/>
  <c r="AP95" i="10" s="1"/>
  <c r="AN142" i="10"/>
  <c r="AO142" i="10" s="1"/>
  <c r="AR142" i="10" s="1"/>
  <c r="AN163" i="10"/>
  <c r="AO163" i="10" s="1"/>
  <c r="AR163" i="10" s="1"/>
  <c r="AN34" i="10"/>
  <c r="AO34" i="10" s="1"/>
  <c r="AR34" i="10" s="1"/>
  <c r="AN98" i="10"/>
  <c r="AP98" i="10" s="1"/>
  <c r="AN130" i="10"/>
  <c r="AO130" i="10" s="1"/>
  <c r="AR130" i="10" s="1"/>
  <c r="AN128" i="10"/>
  <c r="AO128" i="10" s="1"/>
  <c r="AR128" i="10" s="1"/>
  <c r="AN39" i="10"/>
  <c r="AP39" i="10" s="1"/>
  <c r="AN195" i="10"/>
  <c r="AP195" i="10" s="1"/>
  <c r="AN75" i="10"/>
  <c r="AP75" i="10" s="1"/>
  <c r="AN20" i="10"/>
  <c r="AP20" i="10" s="1"/>
  <c r="AN121" i="10"/>
  <c r="AP121" i="10" s="1"/>
  <c r="AN178" i="10"/>
  <c r="AP178" i="10" s="1"/>
  <c r="AN28" i="10"/>
  <c r="AO28" i="10" s="1"/>
  <c r="AR28" i="10" s="1"/>
  <c r="AN124" i="10"/>
  <c r="AP124" i="10" s="1"/>
  <c r="AN31" i="10"/>
  <c r="AO31" i="10" s="1"/>
  <c r="AR31" i="10" s="1"/>
  <c r="AN167" i="10"/>
  <c r="AP167" i="10" s="1"/>
  <c r="AN92" i="10"/>
  <c r="AO92" i="10" s="1"/>
  <c r="AR92" i="10" s="1"/>
  <c r="AN187" i="10"/>
  <c r="AP187" i="10" s="1"/>
  <c r="AN122" i="10"/>
  <c r="AO122" i="10" s="1"/>
  <c r="AR122" i="10" s="1"/>
  <c r="AN172" i="10"/>
  <c r="AO172" i="10" s="1"/>
  <c r="AR172" i="10" s="1"/>
  <c r="AN17" i="10"/>
  <c r="AO17" i="10" s="1"/>
  <c r="AR17" i="10" s="1"/>
  <c r="AN145" i="10"/>
  <c r="AP145" i="10" s="1"/>
  <c r="AN114" i="10"/>
  <c r="AO114" i="10" s="1"/>
  <c r="AR114" i="10" s="1"/>
  <c r="AN104" i="10"/>
  <c r="AP104" i="10" s="1"/>
  <c r="AN159" i="10"/>
  <c r="AP159" i="10" s="1"/>
  <c r="AN123" i="10"/>
  <c r="AO123" i="10" s="1"/>
  <c r="AR123" i="10" s="1"/>
  <c r="AN26" i="10"/>
  <c r="AO26" i="10" s="1"/>
  <c r="AR26" i="10" s="1"/>
  <c r="AN90" i="10"/>
  <c r="AO90" i="10" s="1"/>
  <c r="AR90" i="10" s="1"/>
  <c r="AN154" i="10"/>
  <c r="AO154" i="10" s="1"/>
  <c r="AR154" i="10" s="1"/>
  <c r="AN108" i="10"/>
  <c r="AP108" i="10" s="1"/>
  <c r="AN27" i="10"/>
  <c r="AP27" i="10" s="1"/>
  <c r="AN49" i="10"/>
  <c r="AP49" i="10" s="1"/>
  <c r="AN113" i="10"/>
  <c r="AO113" i="10" s="1"/>
  <c r="AR113" i="10" s="1"/>
  <c r="AN177" i="10"/>
  <c r="AP177" i="10" s="1"/>
  <c r="AN103" i="10"/>
  <c r="AO103" i="10" s="1"/>
  <c r="AR103" i="10" s="1"/>
  <c r="AN11" i="10"/>
  <c r="AP11" i="10" s="1"/>
  <c r="AN58" i="10"/>
  <c r="AO58" i="10" s="1"/>
  <c r="AR58" i="10" s="1"/>
  <c r="AN44" i="10"/>
  <c r="AN91" i="10"/>
  <c r="AP91" i="10" s="1"/>
  <c r="AN81" i="10"/>
  <c r="AO81" i="10" s="1"/>
  <c r="AR81" i="10" s="1"/>
  <c r="AN198" i="10"/>
  <c r="AP198" i="10" s="1"/>
  <c r="AN125" i="10"/>
  <c r="AP125" i="10" s="1"/>
  <c r="AN60" i="10"/>
  <c r="AO60" i="10" s="1"/>
  <c r="AR60" i="10" s="1"/>
  <c r="AN191" i="10"/>
  <c r="AO191" i="10" s="1"/>
  <c r="AR191" i="10" s="1"/>
  <c r="AN155" i="10"/>
  <c r="AP155" i="10" s="1"/>
  <c r="AN12" i="10"/>
  <c r="AP12" i="10" s="1"/>
  <c r="AN140" i="10"/>
  <c r="AO140" i="10" s="1"/>
  <c r="AR140" i="10" s="1"/>
  <c r="AN59" i="10"/>
  <c r="AO59" i="10" s="1"/>
  <c r="AR59" i="10" s="1"/>
  <c r="AN65" i="10"/>
  <c r="AO65" i="10" s="1"/>
  <c r="AR65" i="10" s="1"/>
  <c r="AN129" i="10"/>
  <c r="AO129" i="10" s="1"/>
  <c r="AR129" i="10" s="1"/>
  <c r="AN193" i="10"/>
  <c r="AO193" i="10" s="1"/>
  <c r="AR193" i="10" s="1"/>
  <c r="AN171" i="10"/>
  <c r="AO171" i="10" s="1"/>
  <c r="AR171" i="10" s="1"/>
  <c r="AN196" i="10"/>
  <c r="AO196" i="10" s="1"/>
  <c r="AR196" i="10" s="1"/>
  <c r="AN30" i="10"/>
  <c r="AO30" i="10" s="1"/>
  <c r="AR30" i="10" s="1"/>
  <c r="AN62" i="10"/>
  <c r="AP62" i="10" s="1"/>
  <c r="AN158" i="10"/>
  <c r="AP158" i="10" s="1"/>
  <c r="AN41" i="10"/>
  <c r="AO41" i="10" s="1"/>
  <c r="AR41" i="10" s="1"/>
  <c r="AN73" i="10"/>
  <c r="AP73" i="10" s="1"/>
  <c r="AN169" i="10"/>
  <c r="AO169" i="10" s="1"/>
  <c r="AR169" i="10" s="1"/>
  <c r="AN201" i="10"/>
  <c r="AP201" i="10" s="1"/>
  <c r="AN23" i="10"/>
  <c r="AO23" i="10" s="1"/>
  <c r="AR23" i="10" s="1"/>
  <c r="AN183" i="10"/>
  <c r="AO183" i="10" s="1"/>
  <c r="AR183" i="10" s="1"/>
  <c r="AN116" i="10"/>
  <c r="AO116" i="10" s="1"/>
  <c r="AR116" i="10" s="1"/>
  <c r="AN56" i="10"/>
  <c r="AP56" i="10" s="1"/>
  <c r="AN184" i="10"/>
  <c r="AO184" i="10" s="1"/>
  <c r="AR184" i="10" s="1"/>
  <c r="AN68" i="10"/>
  <c r="AO68" i="10" s="1"/>
  <c r="AR68" i="10" s="1"/>
  <c r="AN111" i="10"/>
  <c r="AP111" i="10" s="1"/>
  <c r="AN151" i="10"/>
  <c r="AP151" i="10" s="1"/>
  <c r="AN15" i="10"/>
  <c r="AP15" i="10" s="1"/>
  <c r="AN147" i="10"/>
  <c r="AO147" i="10" s="1"/>
  <c r="AR147" i="10" s="1"/>
  <c r="AN38" i="10"/>
  <c r="AP38" i="10" s="1"/>
  <c r="AN102" i="10"/>
  <c r="AO102" i="10" s="1"/>
  <c r="AR102" i="10" s="1"/>
  <c r="AN166" i="10"/>
  <c r="AP166" i="10" s="1"/>
  <c r="AN100" i="10"/>
  <c r="AO100" i="10" s="1"/>
  <c r="AR100" i="10" s="1"/>
  <c r="AN143" i="10"/>
  <c r="AO143" i="10" s="1"/>
  <c r="AR143" i="10" s="1"/>
  <c r="AN107" i="10"/>
  <c r="AO107" i="10" s="1"/>
  <c r="AR107" i="10" s="1"/>
  <c r="AN88" i="10"/>
  <c r="AP88" i="10" s="1"/>
  <c r="AN179" i="10"/>
  <c r="AO179" i="10" s="1"/>
  <c r="AR179" i="10" s="1"/>
  <c r="AN84" i="10"/>
  <c r="AP84" i="10" s="1"/>
  <c r="AN24" i="10"/>
  <c r="AP24" i="10" s="1"/>
  <c r="AN152" i="10"/>
  <c r="AO152" i="10" s="1"/>
  <c r="AR152" i="10" s="1"/>
  <c r="AN87" i="10"/>
  <c r="AO87" i="10" s="1"/>
  <c r="AR87" i="10" s="1"/>
  <c r="AN10" i="10"/>
  <c r="AP10" i="10" s="1"/>
  <c r="AN74" i="10"/>
  <c r="AP74" i="10" s="1"/>
  <c r="AN138" i="10"/>
  <c r="AP138" i="10" s="1"/>
  <c r="AN4" i="10"/>
  <c r="AO4" i="10" s="1"/>
  <c r="AR4" i="10" s="1"/>
  <c r="AN51" i="10"/>
  <c r="AP51" i="10" s="1"/>
  <c r="AN200" i="10"/>
  <c r="AP200" i="10" s="1"/>
  <c r="AN119" i="10"/>
  <c r="AO119" i="10" s="1"/>
  <c r="AR119" i="10" s="1"/>
  <c r="AN115" i="10"/>
  <c r="AP115" i="10" s="1"/>
  <c r="AN36" i="10"/>
  <c r="AP36" i="10" s="1"/>
  <c r="AN79" i="10"/>
  <c r="AO79" i="10" s="1"/>
  <c r="AR79" i="10" s="1"/>
  <c r="AN188" i="10"/>
  <c r="AP188" i="10" s="1"/>
  <c r="AN135" i="10"/>
  <c r="AO135" i="10" s="1"/>
  <c r="AR135" i="10" s="1"/>
  <c r="B5" i="6"/>
  <c r="B6" i="6"/>
  <c r="E3" i="4"/>
  <c r="B4" i="8" s="1"/>
  <c r="E2" i="4"/>
  <c r="B7" i="9" s="1"/>
  <c r="T5" i="10" l="1"/>
  <c r="AC2" i="10" s="1"/>
  <c r="A42" i="10"/>
  <c r="B8" i="9"/>
  <c r="AP196" i="10"/>
  <c r="AO124" i="10"/>
  <c r="AR124" i="10" s="1"/>
  <c r="AP3" i="10"/>
  <c r="AP86" i="10"/>
  <c r="AP68" i="10"/>
  <c r="AP132" i="10"/>
  <c r="W5" i="10"/>
  <c r="W3" i="10"/>
  <c r="AP131" i="10"/>
  <c r="AO84" i="10"/>
  <c r="AR84" i="10" s="1"/>
  <c r="AP148" i="10"/>
  <c r="AP118" i="10"/>
  <c r="AO167" i="10"/>
  <c r="AR167" i="10" s="1"/>
  <c r="AO199" i="10"/>
  <c r="AR199" i="10" s="1"/>
  <c r="AO18" i="10"/>
  <c r="AR18" i="10" s="1"/>
  <c r="AO180" i="10"/>
  <c r="AR180" i="10" s="1"/>
  <c r="AO12" i="10"/>
  <c r="AR12" i="10" s="1"/>
  <c r="AP182" i="10"/>
  <c r="AO150" i="10"/>
  <c r="AR150" i="10" s="1"/>
  <c r="AO40" i="10"/>
  <c r="AR40" i="10" s="1"/>
  <c r="AP164" i="10"/>
  <c r="AP116" i="10"/>
  <c r="AP100" i="10"/>
  <c r="AP103" i="10"/>
  <c r="B2" i="5"/>
  <c r="E5" i="5"/>
  <c r="AP79" i="10"/>
  <c r="AO15" i="10"/>
  <c r="AR15" i="10" s="1"/>
  <c r="AP59" i="10"/>
  <c r="AP123" i="10"/>
  <c r="AO151" i="10"/>
  <c r="AR151" i="10" s="1"/>
  <c r="AO189" i="10"/>
  <c r="AR189" i="10" s="1"/>
  <c r="AP58" i="10"/>
  <c r="AP192" i="10"/>
  <c r="AO89" i="10"/>
  <c r="AR89" i="10" s="1"/>
  <c r="AP135" i="10"/>
  <c r="AP147" i="10"/>
  <c r="AO75" i="10"/>
  <c r="AR75" i="10" s="1"/>
  <c r="AP45" i="10"/>
  <c r="AO2" i="10"/>
  <c r="AR2" i="10" s="1"/>
  <c r="AO134" i="10"/>
  <c r="AR134" i="10" s="1"/>
  <c r="AO82" i="10"/>
  <c r="AR82" i="10" s="1"/>
  <c r="AO155" i="10"/>
  <c r="AR155" i="10" s="1"/>
  <c r="AP64" i="10"/>
  <c r="AP126" i="10"/>
  <c r="AO54" i="10"/>
  <c r="AR54" i="10" s="1"/>
  <c r="AP154" i="10"/>
  <c r="AP139" i="10"/>
  <c r="AP90" i="10"/>
  <c r="AP157" i="10"/>
  <c r="AP185" i="10"/>
  <c r="AO14" i="10"/>
  <c r="AR14" i="10" s="1"/>
  <c r="AO57" i="10"/>
  <c r="AR57" i="10" s="1"/>
  <c r="AO21" i="10"/>
  <c r="AR21" i="10" s="1"/>
  <c r="AP65" i="10"/>
  <c r="AO73" i="10"/>
  <c r="AR73" i="10" s="1"/>
  <c r="AO101" i="10"/>
  <c r="AR101" i="10" s="1"/>
  <c r="AP55" i="10"/>
  <c r="AP16" i="10"/>
  <c r="AO47" i="10"/>
  <c r="AR47" i="10" s="1"/>
  <c r="AP76" i="10"/>
  <c r="AP13" i="10"/>
  <c r="AO85" i="10"/>
  <c r="AR85" i="10" s="1"/>
  <c r="AO198" i="10"/>
  <c r="AR198" i="10" s="1"/>
  <c r="AP81" i="10"/>
  <c r="AP69" i="10"/>
  <c r="AP122" i="10"/>
  <c r="AO38" i="10"/>
  <c r="AR38" i="10" s="1"/>
  <c r="AO115" i="10"/>
  <c r="AR115" i="10" s="1"/>
  <c r="AO46" i="10"/>
  <c r="AR46" i="10" s="1"/>
  <c r="AP171" i="10"/>
  <c r="AO127" i="10"/>
  <c r="AR127" i="10" s="1"/>
  <c r="AP28" i="10"/>
  <c r="AO188" i="10"/>
  <c r="AR188" i="10" s="1"/>
  <c r="AP32" i="10"/>
  <c r="AO178" i="10"/>
  <c r="AR178" i="10" s="1"/>
  <c r="AO161" i="10"/>
  <c r="AR161" i="10" s="1"/>
  <c r="AO158" i="10"/>
  <c r="AR158" i="10" s="1"/>
  <c r="AP34" i="10"/>
  <c r="AO22" i="10"/>
  <c r="AR22" i="10" s="1"/>
  <c r="AP112" i="10"/>
  <c r="AP6" i="10"/>
  <c r="AO98" i="10"/>
  <c r="AR98" i="10" s="1"/>
  <c r="AO181" i="10"/>
  <c r="AR181" i="10" s="1"/>
  <c r="AP170" i="10"/>
  <c r="AP41" i="10"/>
  <c r="AO201" i="10"/>
  <c r="AR201" i="10" s="1"/>
  <c r="AP113" i="10"/>
  <c r="AP143" i="10"/>
  <c r="AO202" i="10"/>
  <c r="AR202" i="10" s="1"/>
  <c r="AO74" i="10"/>
  <c r="AR74" i="10" s="1"/>
  <c r="AO61" i="10"/>
  <c r="AR61" i="10" s="1"/>
  <c r="AP26" i="10"/>
  <c r="AO153" i="10"/>
  <c r="AR153" i="10" s="1"/>
  <c r="AP109" i="10"/>
  <c r="AO145" i="10"/>
  <c r="AR145" i="10" s="1"/>
  <c r="AO49" i="10"/>
  <c r="AR49" i="10" s="1"/>
  <c r="AP183" i="10"/>
  <c r="AP60" i="10"/>
  <c r="AP23" i="10"/>
  <c r="AO91" i="10"/>
  <c r="AR91" i="10" s="1"/>
  <c r="AO176" i="10"/>
  <c r="AR176" i="10" s="1"/>
  <c r="AP152" i="10"/>
  <c r="AP117" i="10"/>
  <c r="AP142" i="10"/>
  <c r="AO125" i="10"/>
  <c r="AR125" i="10" s="1"/>
  <c r="AP130" i="10"/>
  <c r="AO97" i="10"/>
  <c r="AR97" i="10" s="1"/>
  <c r="AP102" i="10"/>
  <c r="AP137" i="10"/>
  <c r="AP29" i="10"/>
  <c r="AP146" i="10"/>
  <c r="AO106" i="10"/>
  <c r="AR106" i="10" s="1"/>
  <c r="AP35" i="10"/>
  <c r="AO173" i="10"/>
  <c r="AR173" i="10" s="1"/>
  <c r="AO42" i="10"/>
  <c r="AR42" i="10" s="1"/>
  <c r="AO177" i="10"/>
  <c r="AR177" i="10" s="1"/>
  <c r="AP63" i="10"/>
  <c r="AO187" i="10"/>
  <c r="AR187" i="10" s="1"/>
  <c r="AP191" i="10"/>
  <c r="AP31" i="10"/>
  <c r="AO80" i="10"/>
  <c r="AR80" i="10" s="1"/>
  <c r="AO27" i="10"/>
  <c r="AR27" i="10" s="1"/>
  <c r="AP186" i="10"/>
  <c r="AP8" i="10"/>
  <c r="AP179" i="10"/>
  <c r="AO111" i="10"/>
  <c r="AR111" i="10" s="1"/>
  <c r="AO159" i="10"/>
  <c r="AR159" i="10" s="1"/>
  <c r="AO104" i="10"/>
  <c r="AR104" i="10" s="1"/>
  <c r="AP140" i="10"/>
  <c r="AO78" i="10"/>
  <c r="AR78" i="10" s="1"/>
  <c r="AO50" i="10"/>
  <c r="AR50" i="10" s="1"/>
  <c r="AO168" i="10"/>
  <c r="AR168" i="10" s="1"/>
  <c r="AO10" i="10"/>
  <c r="AR10" i="10" s="1"/>
  <c r="AP105" i="10"/>
  <c r="AP94" i="10"/>
  <c r="AO39" i="10"/>
  <c r="AR39" i="10" s="1"/>
  <c r="AO194" i="10"/>
  <c r="AR194" i="10" s="1"/>
  <c r="AP71" i="10"/>
  <c r="AO165" i="10"/>
  <c r="AR165" i="10" s="1"/>
  <c r="AO93" i="10"/>
  <c r="AR93" i="10" s="1"/>
  <c r="AO70" i="10"/>
  <c r="AR70" i="10" s="1"/>
  <c r="AP169" i="10"/>
  <c r="AO121" i="10"/>
  <c r="AR121" i="10" s="1"/>
  <c r="AO5" i="10"/>
  <c r="AR5" i="10" s="1"/>
  <c r="AO110" i="10"/>
  <c r="AR110" i="10" s="1"/>
  <c r="AO77" i="10"/>
  <c r="AR77" i="10" s="1"/>
  <c r="AO37" i="10"/>
  <c r="AR37" i="10" s="1"/>
  <c r="AO166" i="10"/>
  <c r="AR166" i="10" s="1"/>
  <c r="AO51" i="10"/>
  <c r="AR51" i="10" s="1"/>
  <c r="AP119" i="10"/>
  <c r="AP67" i="10"/>
  <c r="AO88" i="10"/>
  <c r="AR88" i="10" s="1"/>
  <c r="AO19" i="10"/>
  <c r="AR19" i="10" s="1"/>
  <c r="AP163" i="10"/>
  <c r="AP83" i="10"/>
  <c r="AO195" i="10"/>
  <c r="AR195" i="10" s="1"/>
  <c r="AO7" i="10"/>
  <c r="AR7" i="10" s="1"/>
  <c r="AO11" i="10"/>
  <c r="AR11" i="10" s="1"/>
  <c r="AO149" i="10"/>
  <c r="AR149" i="10" s="1"/>
  <c r="AO175" i="10"/>
  <c r="AR175" i="10" s="1"/>
  <c r="AO24" i="10"/>
  <c r="AR24" i="10" s="1"/>
  <c r="AO138" i="10"/>
  <c r="AR138" i="10" s="1"/>
  <c r="AP66" i="10"/>
  <c r="AP129" i="10"/>
  <c r="AP30" i="10"/>
  <c r="AO174" i="10"/>
  <c r="AR174" i="10" s="1"/>
  <c r="AO141" i="10"/>
  <c r="AR141" i="10" s="1"/>
  <c r="AP33" i="10"/>
  <c r="AP114" i="10"/>
  <c r="AO108" i="10"/>
  <c r="AR108" i="10" s="1"/>
  <c r="AP107" i="10"/>
  <c r="AP144" i="10"/>
  <c r="AP136" i="10"/>
  <c r="AP133" i="10"/>
  <c r="AP17" i="10"/>
  <c r="AP48" i="10"/>
  <c r="AP193" i="10"/>
  <c r="AP25" i="10"/>
  <c r="AP190" i="10"/>
  <c r="AO36" i="10"/>
  <c r="AR36" i="10" s="1"/>
  <c r="AO95" i="10"/>
  <c r="AR95" i="10" s="1"/>
  <c r="AP156" i="10"/>
  <c r="AP184" i="10"/>
  <c r="AO197" i="10"/>
  <c r="AR197" i="10" s="1"/>
  <c r="AO9" i="10"/>
  <c r="AR9" i="10" s="1"/>
  <c r="AO62" i="10"/>
  <c r="AR62" i="10" s="1"/>
  <c r="AO162" i="10"/>
  <c r="AR162" i="10" s="1"/>
  <c r="AO99" i="10"/>
  <c r="AR99" i="10" s="1"/>
  <c r="AP120" i="10"/>
  <c r="AO56" i="10"/>
  <c r="AR56" i="10" s="1"/>
  <c r="AP87" i="10"/>
  <c r="AO200" i="10"/>
  <c r="AR200" i="10" s="1"/>
  <c r="AP172" i="10"/>
  <c r="AP4" i="10"/>
  <c r="AP128" i="10"/>
  <c r="AO72" i="10"/>
  <c r="AR72" i="10" s="1"/>
  <c r="AP92" i="10"/>
  <c r="AO160" i="10"/>
  <c r="AR160" i="10" s="1"/>
  <c r="AO20" i="10"/>
  <c r="AR20" i="10" s="1"/>
  <c r="AP96" i="10"/>
  <c r="AO44" i="10"/>
  <c r="AR44" i="10" s="1"/>
  <c r="AP44" i="10"/>
  <c r="AP43" i="10"/>
  <c r="AO43" i="10"/>
  <c r="AR43" i="10" s="1"/>
  <c r="AP53" i="10"/>
  <c r="AO53" i="10"/>
  <c r="AR53" i="10" s="1"/>
  <c r="AO52" i="10"/>
  <c r="AR52" i="10" s="1"/>
  <c r="AP52" i="10"/>
  <c r="W6" i="10" l="1"/>
  <c r="AD63" i="10" s="1"/>
  <c r="AE199" i="10"/>
  <c r="AQ199" i="10" s="1"/>
  <c r="AE195" i="10"/>
  <c r="AE191" i="10"/>
  <c r="AE187" i="10"/>
  <c r="AE183" i="10"/>
  <c r="AE179" i="10"/>
  <c r="AE175" i="10"/>
  <c r="AE171" i="10"/>
  <c r="AE167" i="10"/>
  <c r="AE163" i="10"/>
  <c r="AE159" i="10"/>
  <c r="AE155" i="10"/>
  <c r="AE151" i="10"/>
  <c r="AE147" i="10"/>
  <c r="AE143" i="10"/>
  <c r="AE139" i="10"/>
  <c r="AE135" i="10"/>
  <c r="AE131" i="10"/>
  <c r="AE127" i="10"/>
  <c r="AE123" i="10"/>
  <c r="AE119" i="10"/>
  <c r="AE115" i="10"/>
  <c r="AE111" i="10"/>
  <c r="AE107" i="10"/>
  <c r="AE103" i="10"/>
  <c r="AE99" i="10"/>
  <c r="AQ99" i="10" s="1"/>
  <c r="AE95" i="10"/>
  <c r="AE91" i="10"/>
  <c r="AE87" i="10"/>
  <c r="AE83" i="10"/>
  <c r="AE79" i="10"/>
  <c r="AE75" i="10"/>
  <c r="AE71" i="10"/>
  <c r="AQ71" i="10" s="1"/>
  <c r="AE67" i="10"/>
  <c r="AQ67" i="10" s="1"/>
  <c r="AE63" i="10"/>
  <c r="AE59" i="10"/>
  <c r="AE55" i="10"/>
  <c r="AE51" i="10"/>
  <c r="AE47" i="10"/>
  <c r="AE43" i="10"/>
  <c r="AE39" i="10"/>
  <c r="AE35" i="10"/>
  <c r="AE31" i="10"/>
  <c r="AE27" i="10"/>
  <c r="AE23" i="10"/>
  <c r="AE19" i="10"/>
  <c r="AE15" i="10"/>
  <c r="AE11" i="10"/>
  <c r="AE3" i="10"/>
  <c r="AE196" i="10"/>
  <c r="AE188" i="10"/>
  <c r="AE180" i="10"/>
  <c r="AE172" i="10"/>
  <c r="AE164" i="10"/>
  <c r="AQ164" i="10" s="1"/>
  <c r="AE156" i="10"/>
  <c r="AE148" i="10"/>
  <c r="AE140" i="10"/>
  <c r="AE132" i="10"/>
  <c r="AQ132" i="10" s="1"/>
  <c r="AE124" i="10"/>
  <c r="AE116" i="10"/>
  <c r="AE108" i="10"/>
  <c r="AQ108" i="10" s="1"/>
  <c r="AE100" i="10"/>
  <c r="AE92" i="10"/>
  <c r="AE84" i="10"/>
  <c r="AE76" i="10"/>
  <c r="AE68" i="10"/>
  <c r="AE60" i="10"/>
  <c r="AE52" i="10"/>
  <c r="AE44" i="10"/>
  <c r="AE36" i="10"/>
  <c r="AE28" i="10"/>
  <c r="AE20" i="10"/>
  <c r="AE12" i="10"/>
  <c r="AE4" i="10"/>
  <c r="AE197" i="10"/>
  <c r="AE185" i="10"/>
  <c r="AE177" i="10"/>
  <c r="AE169" i="10"/>
  <c r="AQ169" i="10" s="1"/>
  <c r="AE161" i="10"/>
  <c r="AE153" i="10"/>
  <c r="AE145" i="10"/>
  <c r="AQ145" i="10" s="1"/>
  <c r="AE137" i="10"/>
  <c r="AE129" i="10"/>
  <c r="AE121" i="10"/>
  <c r="AE113" i="10"/>
  <c r="AE105" i="10"/>
  <c r="AE97" i="10"/>
  <c r="AE89" i="10"/>
  <c r="AE81" i="10"/>
  <c r="AE73" i="10"/>
  <c r="AQ73" i="10" s="1"/>
  <c r="AE65" i="10"/>
  <c r="AE57" i="10"/>
  <c r="AE49" i="10"/>
  <c r="AE41" i="10"/>
  <c r="AE33" i="10"/>
  <c r="AE25" i="10"/>
  <c r="AE17" i="10"/>
  <c r="AE9" i="10"/>
  <c r="AE198" i="10"/>
  <c r="AE194" i="10"/>
  <c r="AE190" i="10"/>
  <c r="AQ190" i="10" s="1"/>
  <c r="AE186" i="10"/>
  <c r="AE182" i="10"/>
  <c r="AE178" i="10"/>
  <c r="AE174" i="10"/>
  <c r="AE170" i="10"/>
  <c r="AE166" i="10"/>
  <c r="AE162" i="10"/>
  <c r="AE158" i="10"/>
  <c r="AQ158" i="10" s="1"/>
  <c r="AE154" i="10"/>
  <c r="AE150" i="10"/>
  <c r="AE146" i="10"/>
  <c r="AE142" i="10"/>
  <c r="AQ142" i="10" s="1"/>
  <c r="AE138" i="10"/>
  <c r="AE134" i="10"/>
  <c r="AE130" i="10"/>
  <c r="AE126" i="10"/>
  <c r="AE122" i="10"/>
  <c r="AE118" i="10"/>
  <c r="AE114" i="10"/>
  <c r="AE110" i="10"/>
  <c r="AQ110" i="10" s="1"/>
  <c r="AE106" i="10"/>
  <c r="AE102" i="10"/>
  <c r="AE98" i="10"/>
  <c r="AE94" i="10"/>
  <c r="AE90" i="10"/>
  <c r="AE86" i="10"/>
  <c r="AE82" i="10"/>
  <c r="AE78" i="10"/>
  <c r="AE74" i="10"/>
  <c r="AQ74" i="10" s="1"/>
  <c r="AE70" i="10"/>
  <c r="AE66" i="10"/>
  <c r="AE62" i="10"/>
  <c r="AE58" i="10"/>
  <c r="AE54" i="10"/>
  <c r="AE50" i="10"/>
  <c r="AE46" i="10"/>
  <c r="AE42" i="10"/>
  <c r="AE38" i="10"/>
  <c r="AE34" i="10"/>
  <c r="AE30" i="10"/>
  <c r="AE26" i="10"/>
  <c r="AE22" i="10"/>
  <c r="AE18" i="10"/>
  <c r="AE14" i="10"/>
  <c r="AE10" i="10"/>
  <c r="AE6" i="10"/>
  <c r="AE7" i="10"/>
  <c r="AE200" i="10"/>
  <c r="AE192" i="10"/>
  <c r="AE184" i="10"/>
  <c r="AE176" i="10"/>
  <c r="AE168" i="10"/>
  <c r="AE160" i="10"/>
  <c r="AE152" i="10"/>
  <c r="AE144" i="10"/>
  <c r="AE136" i="10"/>
  <c r="AE128" i="10"/>
  <c r="AQ128" i="10" s="1"/>
  <c r="AE120" i="10"/>
  <c r="AE112" i="10"/>
  <c r="AE104" i="10"/>
  <c r="AE96" i="10"/>
  <c r="AE88" i="10"/>
  <c r="AE80" i="10"/>
  <c r="AE72" i="10"/>
  <c r="AE64" i="10"/>
  <c r="AE56" i="10"/>
  <c r="AE48" i="10"/>
  <c r="AE40" i="10"/>
  <c r="AE32" i="10"/>
  <c r="AE24" i="10"/>
  <c r="AE16" i="10"/>
  <c r="AE8" i="10"/>
  <c r="AE201" i="10"/>
  <c r="AE193" i="10"/>
  <c r="AE189" i="10"/>
  <c r="AE181" i="10"/>
  <c r="AQ181" i="10" s="1"/>
  <c r="AE173" i="10"/>
  <c r="AE165" i="10"/>
  <c r="AE157" i="10"/>
  <c r="AE149" i="10"/>
  <c r="AE141" i="10"/>
  <c r="AE133" i="10"/>
  <c r="AE125" i="10"/>
  <c r="AE117" i="10"/>
  <c r="AE109" i="10"/>
  <c r="AE101" i="10"/>
  <c r="AE93" i="10"/>
  <c r="AE85" i="10"/>
  <c r="AQ85" i="10" s="1"/>
  <c r="AE77" i="10"/>
  <c r="AE69" i="10"/>
  <c r="AE61" i="10"/>
  <c r="AE53" i="10"/>
  <c r="AE45" i="10"/>
  <c r="AE37" i="10"/>
  <c r="AE29" i="10"/>
  <c r="AE21" i="10"/>
  <c r="AE13" i="10"/>
  <c r="AE5" i="10"/>
  <c r="AE2" i="10"/>
  <c r="AE202" i="10"/>
  <c r="AQ202" i="10" s="1"/>
  <c r="AQ176" i="10"/>
  <c r="AQ61" i="10"/>
  <c r="AQ188" i="10"/>
  <c r="AQ121" i="10"/>
  <c r="AQ93" i="10"/>
  <c r="AQ155" i="10"/>
  <c r="AQ100" i="10"/>
  <c r="AQ79" i="10"/>
  <c r="AQ175" i="10"/>
  <c r="AQ59" i="10"/>
  <c r="AQ191" i="10"/>
  <c r="AQ123" i="10"/>
  <c r="AQ65" i="10"/>
  <c r="AQ159" i="10"/>
  <c r="AQ64" i="10"/>
  <c r="AQ185" i="10"/>
  <c r="AQ172" i="10"/>
  <c r="AQ193" i="10"/>
  <c r="AQ143" i="10"/>
  <c r="AQ120" i="10"/>
  <c r="AQ109" i="10"/>
  <c r="AQ129" i="10"/>
  <c r="AQ96" i="10"/>
  <c r="AQ83" i="10"/>
  <c r="AQ57" i="10"/>
  <c r="AQ84" i="10"/>
  <c r="AQ102" i="10"/>
  <c r="AQ198" i="10"/>
  <c r="AQ127" i="10"/>
  <c r="AQ51" i="10"/>
  <c r="AQ20" i="10"/>
  <c r="AQ86" i="10"/>
  <c r="AQ101" i="10"/>
  <c r="AQ197" i="10"/>
  <c r="AQ192" i="10"/>
  <c r="AQ4" i="10"/>
  <c r="AQ5" i="10"/>
  <c r="AQ15" i="10"/>
  <c r="AQ54" i="10"/>
  <c r="AQ43" i="10"/>
  <c r="AQ75" i="10"/>
  <c r="AQ182" i="10"/>
  <c r="AQ162" i="10"/>
  <c r="AQ107" i="10"/>
  <c r="AQ111" i="10"/>
  <c r="AQ134" i="10"/>
  <c r="AQ146" i="10"/>
  <c r="AQ114" i="10"/>
  <c r="AQ148" i="10"/>
  <c r="AQ112" i="10"/>
  <c r="AQ156" i="10"/>
  <c r="AQ92" i="10"/>
  <c r="AQ189" i="10"/>
  <c r="AQ116" i="10"/>
  <c r="AQ178" i="10"/>
  <c r="AQ152" i="10"/>
  <c r="AQ186" i="10"/>
  <c r="AF63" i="10" l="1"/>
  <c r="AH63" i="10" s="1"/>
  <c r="AI63" i="10" s="1"/>
  <c r="AD152" i="10"/>
  <c r="AF152" i="10" s="1"/>
  <c r="AG152" i="10" s="1"/>
  <c r="AD95" i="10"/>
  <c r="AF95" i="10" s="1"/>
  <c r="AG95" i="10" s="1"/>
  <c r="AJ95" i="10" s="1"/>
  <c r="AS95" i="10" s="1"/>
  <c r="AD122" i="10"/>
  <c r="AF122" i="10" s="1"/>
  <c r="AH122" i="10" s="1"/>
  <c r="AI122" i="10" s="1"/>
  <c r="AD70" i="10"/>
  <c r="AF70" i="10" s="1"/>
  <c r="AH70" i="10" s="1"/>
  <c r="AI70" i="10" s="1"/>
  <c r="AD90" i="10"/>
  <c r="AF90" i="10" s="1"/>
  <c r="AG90" i="10" s="1"/>
  <c r="AJ90" i="10" s="1"/>
  <c r="AS90" i="10" s="1"/>
  <c r="AD119" i="10"/>
  <c r="AF119" i="10" s="1"/>
  <c r="AG119" i="10" s="1"/>
  <c r="AD30" i="10"/>
  <c r="AF30" i="10" s="1"/>
  <c r="AG30" i="10" s="1"/>
  <c r="AD116" i="10"/>
  <c r="AF116" i="10" s="1"/>
  <c r="AG116" i="10" s="1"/>
  <c r="AD19" i="10"/>
  <c r="AF19" i="10" s="1"/>
  <c r="AH19" i="10" s="1"/>
  <c r="AI19" i="10" s="1"/>
  <c r="AD102" i="10"/>
  <c r="AF102" i="10" s="1"/>
  <c r="AG102" i="10" s="1"/>
  <c r="AJ102" i="10" s="1"/>
  <c r="AS102" i="10" s="1"/>
  <c r="AD167" i="10"/>
  <c r="AF167" i="10" s="1"/>
  <c r="AG167" i="10" s="1"/>
  <c r="AD71" i="10"/>
  <c r="AF71" i="10" s="1"/>
  <c r="AG71" i="10" s="1"/>
  <c r="AJ71" i="10" s="1"/>
  <c r="AS71" i="10" s="1"/>
  <c r="AD121" i="10"/>
  <c r="AF121" i="10" s="1"/>
  <c r="AH121" i="10" s="1"/>
  <c r="AI121" i="10" s="1"/>
  <c r="AT121" i="10" s="1"/>
  <c r="AD157" i="10"/>
  <c r="AF157" i="10" s="1"/>
  <c r="AG157" i="10" s="1"/>
  <c r="AD3" i="10"/>
  <c r="AF3" i="10" s="1"/>
  <c r="AH3" i="10" s="1"/>
  <c r="AI3" i="10" s="1"/>
  <c r="AD108" i="10"/>
  <c r="AF108" i="10" s="1"/>
  <c r="AG108" i="10" s="1"/>
  <c r="AD46" i="10"/>
  <c r="AF46" i="10" s="1"/>
  <c r="AH46" i="10" s="1"/>
  <c r="AI46" i="10" s="1"/>
  <c r="AD76" i="10"/>
  <c r="AF76" i="10" s="1"/>
  <c r="AH76" i="10" s="1"/>
  <c r="AI76" i="10" s="1"/>
  <c r="AD141" i="10"/>
  <c r="AF141" i="10" s="1"/>
  <c r="AH141" i="10" s="1"/>
  <c r="AI141" i="10" s="1"/>
  <c r="AD21" i="10"/>
  <c r="AF21" i="10" s="1"/>
  <c r="AG21" i="10" s="1"/>
  <c r="AD196" i="10"/>
  <c r="AF196" i="10" s="1"/>
  <c r="AH196" i="10" s="1"/>
  <c r="AI196" i="10" s="1"/>
  <c r="AD142" i="10"/>
  <c r="AF142" i="10" s="1"/>
  <c r="AH142" i="10" s="1"/>
  <c r="AI142" i="10" s="1"/>
  <c r="AT142" i="10" s="1"/>
  <c r="AD168" i="10"/>
  <c r="AF168" i="10" s="1"/>
  <c r="AH168" i="10" s="1"/>
  <c r="AI168" i="10" s="1"/>
  <c r="AD148" i="10"/>
  <c r="AF148" i="10" s="1"/>
  <c r="AG148" i="10" s="1"/>
  <c r="AD73" i="10"/>
  <c r="AF73" i="10" s="1"/>
  <c r="AH73" i="10" s="1"/>
  <c r="AI73" i="10" s="1"/>
  <c r="AT73" i="10" s="1"/>
  <c r="AD198" i="10"/>
  <c r="AF198" i="10" s="1"/>
  <c r="AH198" i="10" s="1"/>
  <c r="AI198" i="10" s="1"/>
  <c r="AT198" i="10" s="1"/>
  <c r="AD11" i="10"/>
  <c r="AF11" i="10" s="1"/>
  <c r="AH11" i="10" s="1"/>
  <c r="AI11" i="10" s="1"/>
  <c r="AD111" i="10"/>
  <c r="AF111" i="10" s="1"/>
  <c r="AH111" i="10" s="1"/>
  <c r="AI111" i="10" s="1"/>
  <c r="AT111" i="10" s="1"/>
  <c r="AD14" i="10"/>
  <c r="AF14" i="10" s="1"/>
  <c r="AH14" i="10" s="1"/>
  <c r="AI14" i="10" s="1"/>
  <c r="AD174" i="10"/>
  <c r="AF174" i="10" s="1"/>
  <c r="AH174" i="10" s="1"/>
  <c r="AI174" i="10" s="1"/>
  <c r="AD96" i="10"/>
  <c r="AF96" i="10" s="1"/>
  <c r="AG96" i="10" s="1"/>
  <c r="AJ96" i="10" s="1"/>
  <c r="AS96" i="10" s="1"/>
  <c r="AD50" i="10"/>
  <c r="AF50" i="10" s="1"/>
  <c r="AG50" i="10" s="1"/>
  <c r="AD172" i="10"/>
  <c r="AF172" i="10" s="1"/>
  <c r="AG172" i="10" s="1"/>
  <c r="AJ172" i="10" s="1"/>
  <c r="AS172" i="10" s="1"/>
  <c r="AD44" i="10"/>
  <c r="AF44" i="10" s="1"/>
  <c r="AG44" i="10" s="1"/>
  <c r="AD191" i="10"/>
  <c r="AF191" i="10" s="1"/>
  <c r="AG191" i="10" s="1"/>
  <c r="AJ191" i="10" s="1"/>
  <c r="AS191" i="10" s="1"/>
  <c r="AD75" i="10"/>
  <c r="AF75" i="10" s="1"/>
  <c r="AG75" i="10" s="1"/>
  <c r="AJ75" i="10" s="1"/>
  <c r="AS75" i="10" s="1"/>
  <c r="AD20" i="10"/>
  <c r="AF20" i="10" s="1"/>
  <c r="AH20" i="10" s="1"/>
  <c r="AI20" i="10" s="1"/>
  <c r="AT20" i="10" s="1"/>
  <c r="AD58" i="10"/>
  <c r="AF58" i="10" s="1"/>
  <c r="AG58" i="10" s="1"/>
  <c r="AD129" i="10"/>
  <c r="AF129" i="10" s="1"/>
  <c r="AH129" i="10" s="1"/>
  <c r="AI129" i="10" s="1"/>
  <c r="AT129" i="10" s="1"/>
  <c r="AD194" i="10"/>
  <c r="AF194" i="10" s="1"/>
  <c r="AG194" i="10" s="1"/>
  <c r="AD31" i="10"/>
  <c r="AF31" i="10" s="1"/>
  <c r="AG31" i="10" s="1"/>
  <c r="AD98" i="10"/>
  <c r="AF98" i="10" s="1"/>
  <c r="AH98" i="10" s="1"/>
  <c r="AI98" i="10" s="1"/>
  <c r="AD201" i="10"/>
  <c r="AF201" i="10" s="1"/>
  <c r="AH201" i="10" s="1"/>
  <c r="AI201" i="10" s="1"/>
  <c r="AD130" i="10"/>
  <c r="AF130" i="10" s="1"/>
  <c r="AG130" i="10" s="1"/>
  <c r="AD34" i="10"/>
  <c r="AF34" i="10" s="1"/>
  <c r="AG34" i="10" s="1"/>
  <c r="AD197" i="10"/>
  <c r="AF197" i="10" s="1"/>
  <c r="AG197" i="10" s="1"/>
  <c r="AD47" i="10"/>
  <c r="AF47" i="10" s="1"/>
  <c r="AH47" i="10" s="1"/>
  <c r="AI47" i="10" s="1"/>
  <c r="AD26" i="10"/>
  <c r="AF26" i="10" s="1"/>
  <c r="AH26" i="10" s="1"/>
  <c r="AI26" i="10" s="1"/>
  <c r="AD149" i="10"/>
  <c r="AF149" i="10" s="1"/>
  <c r="AH149" i="10" s="1"/>
  <c r="AI149" i="10" s="1"/>
  <c r="AD112" i="10"/>
  <c r="AF112" i="10" s="1"/>
  <c r="AG112" i="10" s="1"/>
  <c r="AD170" i="10"/>
  <c r="AF170" i="10" s="1"/>
  <c r="AH170" i="10" s="1"/>
  <c r="AI170" i="10" s="1"/>
  <c r="AD169" i="10"/>
  <c r="AF169" i="10" s="1"/>
  <c r="AH169" i="10" s="1"/>
  <c r="AI169" i="10" s="1"/>
  <c r="AT169" i="10" s="1"/>
  <c r="AD104" i="10"/>
  <c r="AF104" i="10" s="1"/>
  <c r="AG104" i="10" s="1"/>
  <c r="AD187" i="10"/>
  <c r="AF187" i="10" s="1"/>
  <c r="AG187" i="10" s="1"/>
  <c r="AD29" i="10"/>
  <c r="AF29" i="10" s="1"/>
  <c r="AG29" i="10" s="1"/>
  <c r="AD56" i="10"/>
  <c r="AF56" i="10" s="1"/>
  <c r="AG56" i="10" s="1"/>
  <c r="AD202" i="10"/>
  <c r="AF202" i="10" s="1"/>
  <c r="AH202" i="10" s="1"/>
  <c r="AI202" i="10" s="1"/>
  <c r="AT202" i="10" s="1"/>
  <c r="AD200" i="10"/>
  <c r="AF200" i="10" s="1"/>
  <c r="AG200" i="10" s="1"/>
  <c r="AJ200" i="10" s="1"/>
  <c r="AS200" i="10" s="1"/>
  <c r="AD16" i="10"/>
  <c r="AF16" i="10" s="1"/>
  <c r="AG16" i="10" s="1"/>
  <c r="AD69" i="10"/>
  <c r="AF69" i="10" s="1"/>
  <c r="AH69" i="10" s="1"/>
  <c r="AI69" i="10" s="1"/>
  <c r="AD131" i="10"/>
  <c r="AF131" i="10" s="1"/>
  <c r="AH131" i="10" s="1"/>
  <c r="AI131" i="10" s="1"/>
  <c r="AD107" i="10"/>
  <c r="AF107" i="10" s="1"/>
  <c r="AH107" i="10" s="1"/>
  <c r="AI107" i="10" s="1"/>
  <c r="AT107" i="10" s="1"/>
  <c r="AD114" i="10"/>
  <c r="AF114" i="10" s="1"/>
  <c r="AH114" i="10" s="1"/>
  <c r="AI114" i="10" s="1"/>
  <c r="AT114" i="10" s="1"/>
  <c r="AD151" i="10"/>
  <c r="AF151" i="10" s="1"/>
  <c r="AH151" i="10" s="1"/>
  <c r="AI151" i="10" s="1"/>
  <c r="AD17" i="10"/>
  <c r="AF17" i="10" s="1"/>
  <c r="AH17" i="10" s="1"/>
  <c r="AI17" i="10" s="1"/>
  <c r="AD2" i="10"/>
  <c r="AF2" i="10" s="1"/>
  <c r="AG2" i="10" s="1"/>
  <c r="AJ2" i="10" s="1"/>
  <c r="AS2" i="10" s="1"/>
  <c r="AD68" i="10"/>
  <c r="AF68" i="10" s="1"/>
  <c r="AH68" i="10" s="1"/>
  <c r="AI68" i="10" s="1"/>
  <c r="AD52" i="10"/>
  <c r="AF52" i="10" s="1"/>
  <c r="AH52" i="10" s="1"/>
  <c r="AI52" i="10" s="1"/>
  <c r="AD126" i="10"/>
  <c r="AF126" i="10" s="1"/>
  <c r="AG126" i="10" s="1"/>
  <c r="AD4" i="10"/>
  <c r="AF4" i="10" s="1"/>
  <c r="AG4" i="10" s="1"/>
  <c r="AJ4" i="10" s="1"/>
  <c r="AS4" i="10" s="1"/>
  <c r="AD171" i="10"/>
  <c r="AF171" i="10" s="1"/>
  <c r="AG171" i="10" s="1"/>
  <c r="AD42" i="10"/>
  <c r="AF42" i="10" s="1"/>
  <c r="AH42" i="10" s="1"/>
  <c r="AI42" i="10" s="1"/>
  <c r="AD146" i="10"/>
  <c r="AF146" i="10" s="1"/>
  <c r="AG146" i="10" s="1"/>
  <c r="AD185" i="10"/>
  <c r="AF185" i="10" s="1"/>
  <c r="AH185" i="10" s="1"/>
  <c r="AI185" i="10" s="1"/>
  <c r="AT185" i="10" s="1"/>
  <c r="AD175" i="10"/>
  <c r="AF175" i="10" s="1"/>
  <c r="AH175" i="10" s="1"/>
  <c r="AI175" i="10" s="1"/>
  <c r="AT175" i="10" s="1"/>
  <c r="AD127" i="10"/>
  <c r="AF127" i="10" s="1"/>
  <c r="AG127" i="10" s="1"/>
  <c r="AD133" i="10"/>
  <c r="AF133" i="10" s="1"/>
  <c r="AH133" i="10" s="1"/>
  <c r="AI133" i="10" s="1"/>
  <c r="AD94" i="10"/>
  <c r="AF94" i="10" s="1"/>
  <c r="AH94" i="10" s="1"/>
  <c r="AI94" i="10" s="1"/>
  <c r="AD124" i="10"/>
  <c r="AF124" i="10" s="1"/>
  <c r="AG124" i="10" s="1"/>
  <c r="AJ124" i="10" s="1"/>
  <c r="AS124" i="10" s="1"/>
  <c r="AD103" i="10"/>
  <c r="AF103" i="10" s="1"/>
  <c r="AG103" i="10" s="1"/>
  <c r="AD100" i="10"/>
  <c r="AF100" i="10" s="1"/>
  <c r="AH100" i="10" s="1"/>
  <c r="AI100" i="10" s="1"/>
  <c r="AT100" i="10" s="1"/>
  <c r="AD144" i="10"/>
  <c r="AF144" i="10" s="1"/>
  <c r="AG144" i="10" s="1"/>
  <c r="AD77" i="10"/>
  <c r="AF77" i="10" s="1"/>
  <c r="AG77" i="10" s="1"/>
  <c r="AD182" i="10"/>
  <c r="AF182" i="10" s="1"/>
  <c r="AH182" i="10" s="1"/>
  <c r="AI182" i="10" s="1"/>
  <c r="AT182" i="10" s="1"/>
  <c r="AD33" i="10"/>
  <c r="AF33" i="10" s="1"/>
  <c r="AG33" i="10" s="1"/>
  <c r="AD13" i="10"/>
  <c r="AF13" i="10" s="1"/>
  <c r="AG13" i="10" s="1"/>
  <c r="AD18" i="10"/>
  <c r="AF18" i="10" s="1"/>
  <c r="AG18" i="10" s="1"/>
  <c r="AD57" i="10"/>
  <c r="AF57" i="10" s="1"/>
  <c r="AG57" i="10" s="1"/>
  <c r="AJ57" i="10" s="1"/>
  <c r="AS57" i="10" s="1"/>
  <c r="AD195" i="10"/>
  <c r="AF195" i="10" s="1"/>
  <c r="AH195" i="10" s="1"/>
  <c r="AI195" i="10" s="1"/>
  <c r="AD125" i="10"/>
  <c r="AF125" i="10" s="1"/>
  <c r="AH125" i="10" s="1"/>
  <c r="AI125" i="10" s="1"/>
  <c r="AD128" i="10"/>
  <c r="AF128" i="10" s="1"/>
  <c r="AG128" i="10" s="1"/>
  <c r="AD180" i="10"/>
  <c r="AF180" i="10" s="1"/>
  <c r="AH180" i="10" s="1"/>
  <c r="AI180" i="10" s="1"/>
  <c r="AD45" i="10"/>
  <c r="AF45" i="10" s="1"/>
  <c r="AH45" i="10" s="1"/>
  <c r="AI45" i="10" s="1"/>
  <c r="AD74" i="10"/>
  <c r="AF74" i="10" s="1"/>
  <c r="AG74" i="10" s="1"/>
  <c r="AD181" i="10"/>
  <c r="AF181" i="10" s="1"/>
  <c r="AH181" i="10" s="1"/>
  <c r="AI181" i="10" s="1"/>
  <c r="AT181" i="10" s="1"/>
  <c r="AD83" i="10"/>
  <c r="AF83" i="10" s="1"/>
  <c r="AH83" i="10" s="1"/>
  <c r="AI83" i="10" s="1"/>
  <c r="AT83" i="10" s="1"/>
  <c r="AD190" i="10"/>
  <c r="AF190" i="10" s="1"/>
  <c r="AG190" i="10" s="1"/>
  <c r="AJ190" i="10" s="1"/>
  <c r="AS190" i="10" s="1"/>
  <c r="AD193" i="10"/>
  <c r="AF193" i="10" s="1"/>
  <c r="AG193" i="10" s="1"/>
  <c r="AJ193" i="10" s="1"/>
  <c r="AS193" i="10" s="1"/>
  <c r="AD136" i="10"/>
  <c r="AF136" i="10" s="1"/>
  <c r="AG136" i="10" s="1"/>
  <c r="AD139" i="10"/>
  <c r="AF139" i="10" s="1"/>
  <c r="AG139" i="10" s="1"/>
  <c r="AD166" i="10"/>
  <c r="AF166" i="10" s="1"/>
  <c r="AG166" i="10" s="1"/>
  <c r="AD177" i="10"/>
  <c r="AF177" i="10" s="1"/>
  <c r="AH177" i="10" s="1"/>
  <c r="AI177" i="10" s="1"/>
  <c r="AD93" i="10"/>
  <c r="AF93" i="10" s="1"/>
  <c r="AH93" i="10" s="1"/>
  <c r="AI93" i="10" s="1"/>
  <c r="AT93" i="10" s="1"/>
  <c r="AD43" i="10"/>
  <c r="AF43" i="10" s="1"/>
  <c r="AH43" i="10" s="1"/>
  <c r="AI43" i="10" s="1"/>
  <c r="AT43" i="10" s="1"/>
  <c r="AD40" i="10"/>
  <c r="AF40" i="10" s="1"/>
  <c r="AH40" i="10" s="1"/>
  <c r="AI40" i="10" s="1"/>
  <c r="AD12" i="10"/>
  <c r="AF12" i="10" s="1"/>
  <c r="AG12" i="10" s="1"/>
  <c r="AD159" i="10"/>
  <c r="AF159" i="10" s="1"/>
  <c r="AH159" i="10" s="1"/>
  <c r="AI159" i="10" s="1"/>
  <c r="AT159" i="10" s="1"/>
  <c r="AD158" i="10"/>
  <c r="AF158" i="10" s="1"/>
  <c r="AH158" i="10" s="1"/>
  <c r="AI158" i="10" s="1"/>
  <c r="AT158" i="10" s="1"/>
  <c r="AD72" i="10"/>
  <c r="AF72" i="10" s="1"/>
  <c r="AG72" i="10" s="1"/>
  <c r="AD192" i="10"/>
  <c r="AF192" i="10" s="1"/>
  <c r="AG192" i="10" s="1"/>
  <c r="AD178" i="10"/>
  <c r="AF178" i="10" s="1"/>
  <c r="AH178" i="10" s="1"/>
  <c r="AI178" i="10" s="1"/>
  <c r="AT178" i="10" s="1"/>
  <c r="AD27" i="10"/>
  <c r="AF27" i="10" s="1"/>
  <c r="AH27" i="10" s="1"/>
  <c r="AI27" i="10" s="1"/>
  <c r="AD79" i="10"/>
  <c r="AF79" i="10" s="1"/>
  <c r="AG79" i="10" s="1"/>
  <c r="AJ79" i="10" s="1"/>
  <c r="AS79" i="10" s="1"/>
  <c r="AD86" i="10"/>
  <c r="AF86" i="10" s="1"/>
  <c r="AG86" i="10" s="1"/>
  <c r="AJ86" i="10" s="1"/>
  <c r="AS86" i="10" s="1"/>
  <c r="AD109" i="10"/>
  <c r="AF109" i="10" s="1"/>
  <c r="AH109" i="10" s="1"/>
  <c r="AI109" i="10" s="1"/>
  <c r="AT109" i="10" s="1"/>
  <c r="AD41" i="10"/>
  <c r="AF41" i="10" s="1"/>
  <c r="AG41" i="10" s="1"/>
  <c r="AD67" i="10"/>
  <c r="AF67" i="10" s="1"/>
  <c r="AH67" i="10" s="1"/>
  <c r="AI67" i="10" s="1"/>
  <c r="AT67" i="10" s="1"/>
  <c r="AD145" i="10"/>
  <c r="AF145" i="10" s="1"/>
  <c r="AG145" i="10" s="1"/>
  <c r="AJ145" i="10" s="1"/>
  <c r="AS145" i="10" s="1"/>
  <c r="AD24" i="10"/>
  <c r="AF24" i="10" s="1"/>
  <c r="AH24" i="10" s="1"/>
  <c r="AI24" i="10" s="1"/>
  <c r="AD61" i="10"/>
  <c r="AF61" i="10" s="1"/>
  <c r="AH61" i="10" s="1"/>
  <c r="AI61" i="10" s="1"/>
  <c r="AT61" i="10" s="1"/>
  <c r="AD106" i="10"/>
  <c r="AF106" i="10" s="1"/>
  <c r="AG106" i="10" s="1"/>
  <c r="AD92" i="10"/>
  <c r="AF92" i="10" s="1"/>
  <c r="AH92" i="10" s="1"/>
  <c r="AI92" i="10" s="1"/>
  <c r="AT92" i="10" s="1"/>
  <c r="AD5" i="10"/>
  <c r="AF5" i="10" s="1"/>
  <c r="AH5" i="10" s="1"/>
  <c r="AI5" i="10" s="1"/>
  <c r="AT5" i="10" s="1"/>
  <c r="AD156" i="10"/>
  <c r="AF156" i="10" s="1"/>
  <c r="AG156" i="10" s="1"/>
  <c r="AD7" i="10"/>
  <c r="AF7" i="10" s="1"/>
  <c r="AH7" i="10" s="1"/>
  <c r="AI7" i="10" s="1"/>
  <c r="AD62" i="10"/>
  <c r="AF62" i="10" s="1"/>
  <c r="AG62" i="10" s="1"/>
  <c r="AD188" i="10"/>
  <c r="AF188" i="10" s="1"/>
  <c r="AG188" i="10" s="1"/>
  <c r="AJ188" i="10" s="1"/>
  <c r="AS188" i="10" s="1"/>
  <c r="AD161" i="10"/>
  <c r="AF161" i="10" s="1"/>
  <c r="AG161" i="10" s="1"/>
  <c r="AD184" i="10"/>
  <c r="AF184" i="10" s="1"/>
  <c r="AG184" i="10" s="1"/>
  <c r="AJ184" i="10" s="1"/>
  <c r="AS184" i="10" s="1"/>
  <c r="AD135" i="10"/>
  <c r="AF135" i="10" s="1"/>
  <c r="AH135" i="10" s="1"/>
  <c r="AI135" i="10" s="1"/>
  <c r="AD28" i="10"/>
  <c r="AF28" i="10" s="1"/>
  <c r="AH28" i="10" s="1"/>
  <c r="AI28" i="10" s="1"/>
  <c r="AD101" i="10"/>
  <c r="AF101" i="10" s="1"/>
  <c r="AG101" i="10" s="1"/>
  <c r="AD123" i="10"/>
  <c r="AF123" i="10" s="1"/>
  <c r="AG123" i="10" s="1"/>
  <c r="AJ123" i="10" s="1"/>
  <c r="AS123" i="10" s="1"/>
  <c r="AD8" i="10"/>
  <c r="AF8" i="10" s="1"/>
  <c r="AH8" i="10" s="1"/>
  <c r="AI8" i="10" s="1"/>
  <c r="AD105" i="10"/>
  <c r="AF105" i="10" s="1"/>
  <c r="AH105" i="10" s="1"/>
  <c r="AI105" i="10" s="1"/>
  <c r="AD143" i="10"/>
  <c r="AF143" i="10" s="1"/>
  <c r="AH143" i="10" s="1"/>
  <c r="AI143" i="10" s="1"/>
  <c r="AT143" i="10" s="1"/>
  <c r="AD155" i="10"/>
  <c r="AF155" i="10" s="1"/>
  <c r="AG155" i="10" s="1"/>
  <c r="AJ155" i="10" s="1"/>
  <c r="AS155" i="10" s="1"/>
  <c r="AD81" i="10"/>
  <c r="AF81" i="10" s="1"/>
  <c r="AH81" i="10" s="1"/>
  <c r="AI81" i="10" s="1"/>
  <c r="AD54" i="10"/>
  <c r="AF54" i="10" s="1"/>
  <c r="AG54" i="10" s="1"/>
  <c r="AJ54" i="10" s="1"/>
  <c r="AS54" i="10" s="1"/>
  <c r="AD55" i="10"/>
  <c r="AF55" i="10" s="1"/>
  <c r="AG55" i="10" s="1"/>
  <c r="AD147" i="10"/>
  <c r="AF147" i="10" s="1"/>
  <c r="AG147" i="10" s="1"/>
  <c r="AD186" i="10"/>
  <c r="AF186" i="10" s="1"/>
  <c r="AG186" i="10" s="1"/>
  <c r="AD183" i="10"/>
  <c r="AF183" i="10" s="1"/>
  <c r="AG183" i="10" s="1"/>
  <c r="AD53" i="10"/>
  <c r="AF53" i="10" s="1"/>
  <c r="AG53" i="10" s="1"/>
  <c r="AD113" i="10"/>
  <c r="AF113" i="10" s="1"/>
  <c r="AG113" i="10" s="1"/>
  <c r="AD85" i="10"/>
  <c r="AF85" i="10" s="1"/>
  <c r="AG85" i="10" s="1"/>
  <c r="AJ85" i="10" s="1"/>
  <c r="AS85" i="10" s="1"/>
  <c r="AD134" i="10"/>
  <c r="AF134" i="10" s="1"/>
  <c r="AH134" i="10" s="1"/>
  <c r="AI134" i="10" s="1"/>
  <c r="AT134" i="10" s="1"/>
  <c r="AD176" i="10"/>
  <c r="AF176" i="10" s="1"/>
  <c r="AH176" i="10" s="1"/>
  <c r="AI176" i="10" s="1"/>
  <c r="AT176" i="10" s="1"/>
  <c r="AD87" i="10"/>
  <c r="AF87" i="10" s="1"/>
  <c r="AG87" i="10" s="1"/>
  <c r="AJ87" i="10" s="1"/>
  <c r="AS87" i="10" s="1"/>
  <c r="AD164" i="10"/>
  <c r="AF164" i="10" s="1"/>
  <c r="AH164" i="10" s="1"/>
  <c r="AI164" i="10" s="1"/>
  <c r="AT164" i="10" s="1"/>
  <c r="AD78" i="10"/>
  <c r="AF78" i="10" s="1"/>
  <c r="AG78" i="10" s="1"/>
  <c r="AD179" i="10"/>
  <c r="AF179" i="10" s="1"/>
  <c r="AH179" i="10" s="1"/>
  <c r="AI179" i="10" s="1"/>
  <c r="AD163" i="10"/>
  <c r="AF163" i="10" s="1"/>
  <c r="AH163" i="10" s="1"/>
  <c r="AI163" i="10" s="1"/>
  <c r="AD60" i="10"/>
  <c r="AF60" i="10" s="1"/>
  <c r="AG60" i="10" s="1"/>
  <c r="AD189" i="10"/>
  <c r="AF189" i="10" s="1"/>
  <c r="AG189" i="10" s="1"/>
  <c r="AD173" i="10"/>
  <c r="AF173" i="10" s="1"/>
  <c r="AH173" i="10" s="1"/>
  <c r="AI173" i="10" s="1"/>
  <c r="AD80" i="10"/>
  <c r="AF80" i="10" s="1"/>
  <c r="AG80" i="10" s="1"/>
  <c r="AD162" i="10"/>
  <c r="AF162" i="10" s="1"/>
  <c r="AG162" i="10" s="1"/>
  <c r="AD84" i="10"/>
  <c r="AF84" i="10" s="1"/>
  <c r="AG84" i="10" s="1"/>
  <c r="AJ84" i="10" s="1"/>
  <c r="AS84" i="10" s="1"/>
  <c r="AD49" i="10"/>
  <c r="AF49" i="10" s="1"/>
  <c r="AG49" i="10" s="1"/>
  <c r="AD32" i="10"/>
  <c r="AF32" i="10" s="1"/>
  <c r="AG32" i="10" s="1"/>
  <c r="AD37" i="10"/>
  <c r="AF37" i="10" s="1"/>
  <c r="AH37" i="10" s="1"/>
  <c r="AI37" i="10" s="1"/>
  <c r="AD9" i="10"/>
  <c r="AF9" i="10" s="1"/>
  <c r="AH9" i="10" s="1"/>
  <c r="AI9" i="10" s="1"/>
  <c r="AD110" i="10"/>
  <c r="AF110" i="10" s="1"/>
  <c r="AH110" i="10" s="1"/>
  <c r="AI110" i="10" s="1"/>
  <c r="AT110" i="10" s="1"/>
  <c r="AD150" i="10"/>
  <c r="AF150" i="10" s="1"/>
  <c r="AH150" i="10" s="1"/>
  <c r="AI150" i="10" s="1"/>
  <c r="AD199" i="10"/>
  <c r="AF199" i="10" s="1"/>
  <c r="AH199" i="10" s="1"/>
  <c r="AI199" i="10" s="1"/>
  <c r="AT199" i="10" s="1"/>
  <c r="AD91" i="10"/>
  <c r="AF91" i="10" s="1"/>
  <c r="AG91" i="10" s="1"/>
  <c r="AD22" i="10"/>
  <c r="AF22" i="10" s="1"/>
  <c r="AG22" i="10" s="1"/>
  <c r="AD10" i="10"/>
  <c r="AF10" i="10" s="1"/>
  <c r="AG10" i="10" s="1"/>
  <c r="AD138" i="10"/>
  <c r="AF138" i="10" s="1"/>
  <c r="AG138" i="10" s="1"/>
  <c r="AD154" i="10"/>
  <c r="AF154" i="10" s="1"/>
  <c r="AH154" i="10" s="1"/>
  <c r="AI154" i="10" s="1"/>
  <c r="AD115" i="10"/>
  <c r="AF115" i="10" s="1"/>
  <c r="AG115" i="10" s="1"/>
  <c r="AJ115" i="10" s="1"/>
  <c r="AS115" i="10" s="1"/>
  <c r="AD140" i="10"/>
  <c r="AF140" i="10" s="1"/>
  <c r="AG140" i="10" s="1"/>
  <c r="AD82" i="10"/>
  <c r="AF82" i="10" s="1"/>
  <c r="AH82" i="10" s="1"/>
  <c r="AI82" i="10" s="1"/>
  <c r="AD132" i="10"/>
  <c r="AF132" i="10" s="1"/>
  <c r="AG132" i="10" s="1"/>
  <c r="AD160" i="10"/>
  <c r="AF160" i="10" s="1"/>
  <c r="AH160" i="10" s="1"/>
  <c r="AI160" i="10" s="1"/>
  <c r="AD88" i="10"/>
  <c r="AF88" i="10" s="1"/>
  <c r="AH88" i="10" s="1"/>
  <c r="AI88" i="10" s="1"/>
  <c r="AD118" i="10"/>
  <c r="AF118" i="10" s="1"/>
  <c r="AH118" i="10" s="1"/>
  <c r="AI118" i="10" s="1"/>
  <c r="AD51" i="10"/>
  <c r="AF51" i="10" s="1"/>
  <c r="AH51" i="10" s="1"/>
  <c r="AI51" i="10" s="1"/>
  <c r="AT51" i="10" s="1"/>
  <c r="AD38" i="10"/>
  <c r="AF38" i="10" s="1"/>
  <c r="AG38" i="10" s="1"/>
  <c r="AD35" i="10"/>
  <c r="AF35" i="10" s="1"/>
  <c r="AH35" i="10" s="1"/>
  <c r="AI35" i="10" s="1"/>
  <c r="AD117" i="10"/>
  <c r="AF117" i="10" s="1"/>
  <c r="AH117" i="10" s="1"/>
  <c r="AI117" i="10" s="1"/>
  <c r="AD153" i="10"/>
  <c r="AF153" i="10" s="1"/>
  <c r="AH153" i="10" s="1"/>
  <c r="AI153" i="10" s="1"/>
  <c r="AD65" i="10"/>
  <c r="AF65" i="10" s="1"/>
  <c r="AG65" i="10" s="1"/>
  <c r="AJ65" i="10" s="1"/>
  <c r="AS65" i="10" s="1"/>
  <c r="AD64" i="10"/>
  <c r="AF64" i="10" s="1"/>
  <c r="AH64" i="10" s="1"/>
  <c r="AI64" i="10" s="1"/>
  <c r="AT64" i="10" s="1"/>
  <c r="AD66" i="10"/>
  <c r="AF66" i="10" s="1"/>
  <c r="AH66" i="10" s="1"/>
  <c r="AI66" i="10" s="1"/>
  <c r="AD15" i="10"/>
  <c r="AF15" i="10" s="1"/>
  <c r="AH15" i="10" s="1"/>
  <c r="AI15" i="10" s="1"/>
  <c r="AT15" i="10" s="1"/>
  <c r="AD25" i="10"/>
  <c r="AF25" i="10" s="1"/>
  <c r="AH25" i="10" s="1"/>
  <c r="AI25" i="10" s="1"/>
  <c r="AD165" i="10"/>
  <c r="AF165" i="10" s="1"/>
  <c r="AH165" i="10" s="1"/>
  <c r="AI165" i="10" s="1"/>
  <c r="AD59" i="10"/>
  <c r="AF59" i="10" s="1"/>
  <c r="AG59" i="10" s="1"/>
  <c r="AJ59" i="10" s="1"/>
  <c r="AS59" i="10" s="1"/>
  <c r="AD23" i="10"/>
  <c r="AF23" i="10" s="1"/>
  <c r="AG23" i="10" s="1"/>
  <c r="AD99" i="10"/>
  <c r="AF99" i="10" s="1"/>
  <c r="AG99" i="10" s="1"/>
  <c r="AJ99" i="10" s="1"/>
  <c r="AS99" i="10" s="1"/>
  <c r="AD97" i="10"/>
  <c r="AF97" i="10" s="1"/>
  <c r="AG97" i="10" s="1"/>
  <c r="AD36" i="10"/>
  <c r="AF36" i="10" s="1"/>
  <c r="AG36" i="10" s="1"/>
  <c r="AD137" i="10"/>
  <c r="AF137" i="10" s="1"/>
  <c r="AH137" i="10" s="1"/>
  <c r="AI137" i="10" s="1"/>
  <c r="AD6" i="10"/>
  <c r="AF6" i="10" s="1"/>
  <c r="AG6" i="10" s="1"/>
  <c r="AD89" i="10"/>
  <c r="AF89" i="10" s="1"/>
  <c r="AH89" i="10" s="1"/>
  <c r="AI89" i="10" s="1"/>
  <c r="AD48" i="10"/>
  <c r="AF48" i="10" s="1"/>
  <c r="AH48" i="10" s="1"/>
  <c r="AI48" i="10" s="1"/>
  <c r="AD39" i="10"/>
  <c r="AF39" i="10" s="1"/>
  <c r="AG39" i="10" s="1"/>
  <c r="AD120" i="10"/>
  <c r="AF120" i="10" s="1"/>
  <c r="AQ151" i="10"/>
  <c r="AQ196" i="10"/>
  <c r="AQ200" i="10"/>
  <c r="AQ87" i="10"/>
  <c r="AQ90" i="10"/>
  <c r="AQ115" i="10"/>
  <c r="AQ7" i="10"/>
  <c r="AQ55" i="10"/>
  <c r="AQ44" i="10"/>
  <c r="AQ32" i="10"/>
  <c r="AQ50" i="10"/>
  <c r="AQ36" i="10"/>
  <c r="AQ17" i="10"/>
  <c r="AQ29" i="10"/>
  <c r="AQ30" i="10"/>
  <c r="AQ16" i="10"/>
  <c r="AQ126" i="10"/>
  <c r="AQ133" i="10"/>
  <c r="AQ60" i="10"/>
  <c r="AQ161" i="10"/>
  <c r="AQ187" i="10"/>
  <c r="AQ135" i="10"/>
  <c r="AQ153" i="10"/>
  <c r="AQ165" i="10"/>
  <c r="AQ171" i="10"/>
  <c r="AQ138" i="10"/>
  <c r="AQ174" i="10"/>
  <c r="AQ167" i="10"/>
  <c r="AQ139" i="10"/>
  <c r="AQ141" i="10"/>
  <c r="AQ68" i="10"/>
  <c r="AQ94" i="10"/>
  <c r="AQ113" i="10"/>
  <c r="AQ98" i="10"/>
  <c r="AQ23" i="10"/>
  <c r="AQ119" i="10"/>
  <c r="AG63" i="10"/>
  <c r="AQ63" i="10"/>
  <c r="AQ89" i="10"/>
  <c r="AQ24" i="10"/>
  <c r="AQ53" i="10"/>
  <c r="AQ46" i="10"/>
  <c r="AQ21" i="10"/>
  <c r="AQ22" i="10"/>
  <c r="AQ27" i="10"/>
  <c r="AQ33" i="10"/>
  <c r="AQ45" i="10"/>
  <c r="AQ34" i="10"/>
  <c r="AQ52" i="10"/>
  <c r="AQ49" i="10"/>
  <c r="AQ91" i="10"/>
  <c r="AQ170" i="10"/>
  <c r="AQ122" i="10"/>
  <c r="AQ173" i="10"/>
  <c r="AQ144" i="10"/>
  <c r="AQ194" i="10"/>
  <c r="AQ147" i="10"/>
  <c r="AQ180" i="10"/>
  <c r="AQ149" i="10"/>
  <c r="AQ95" i="10"/>
  <c r="AQ154" i="10"/>
  <c r="AQ140" i="10"/>
  <c r="AQ130" i="10"/>
  <c r="AQ81" i="10"/>
  <c r="AQ118" i="10"/>
  <c r="AQ179" i="10"/>
  <c r="AQ70" i="10"/>
  <c r="AQ28" i="10"/>
  <c r="AQ8" i="10"/>
  <c r="AQ6" i="10"/>
  <c r="AQ38" i="10"/>
  <c r="AQ39" i="10"/>
  <c r="AQ3" i="10"/>
  <c r="AQ18" i="10"/>
  <c r="AQ13" i="10"/>
  <c r="AQ25" i="10"/>
  <c r="AQ48" i="10"/>
  <c r="AQ19" i="10"/>
  <c r="AQ58" i="10"/>
  <c r="AQ163" i="10"/>
  <c r="AQ104" i="10"/>
  <c r="AQ80" i="10"/>
  <c r="AQ184" i="10"/>
  <c r="AQ117" i="10"/>
  <c r="AQ125" i="10"/>
  <c r="AQ168" i="10"/>
  <c r="AQ69" i="10"/>
  <c r="AQ201" i="10"/>
  <c r="AQ76" i="10"/>
  <c r="AQ136" i="10"/>
  <c r="AQ166" i="10"/>
  <c r="AQ177" i="10"/>
  <c r="AQ78" i="10"/>
  <c r="AQ66" i="10"/>
  <c r="AQ72" i="10"/>
  <c r="AQ131" i="10"/>
  <c r="AQ47" i="10"/>
  <c r="AQ31" i="10"/>
  <c r="AQ41" i="10"/>
  <c r="AQ42" i="10"/>
  <c r="AQ10" i="10"/>
  <c r="AQ26" i="10"/>
  <c r="AQ37" i="10"/>
  <c r="AQ40" i="10"/>
  <c r="AQ35" i="10"/>
  <c r="AQ12" i="10"/>
  <c r="AQ56" i="10"/>
  <c r="AQ14" i="10"/>
  <c r="AQ97" i="10"/>
  <c r="AQ62" i="10"/>
  <c r="AQ124" i="10"/>
  <c r="AQ157" i="10"/>
  <c r="AQ77" i="10"/>
  <c r="AQ137" i="10"/>
  <c r="AQ195" i="10"/>
  <c r="AQ106" i="10"/>
  <c r="AQ183" i="10"/>
  <c r="AQ105" i="10"/>
  <c r="AQ82" i="10"/>
  <c r="AQ160" i="10"/>
  <c r="AQ88" i="10"/>
  <c r="AQ9" i="10"/>
  <c r="AQ103" i="10"/>
  <c r="AQ150" i="10"/>
  <c r="AQ11" i="10"/>
  <c r="AQ2" i="10"/>
  <c r="AG165" i="10" l="1"/>
  <c r="AJ165" i="10" s="1"/>
  <c r="AS165" i="10" s="1"/>
  <c r="AH6" i="10"/>
  <c r="AI6" i="10" s="1"/>
  <c r="AT6" i="10" s="1"/>
  <c r="AG19" i="10"/>
  <c r="AJ19" i="10" s="1"/>
  <c r="AS19" i="10" s="1"/>
  <c r="AG120" i="10"/>
  <c r="AJ120" i="10" s="1"/>
  <c r="AS120" i="10" s="1"/>
  <c r="AH120" i="10"/>
  <c r="AI120" i="10" s="1"/>
  <c r="AT120" i="10" s="1"/>
  <c r="AG20" i="10"/>
  <c r="AJ20" i="10" s="1"/>
  <c r="AS20" i="10" s="1"/>
  <c r="AG26" i="10"/>
  <c r="AJ26" i="10" s="1"/>
  <c r="AS26" i="10" s="1"/>
  <c r="AH97" i="10"/>
  <c r="AI97" i="10" s="1"/>
  <c r="AT97" i="10" s="1"/>
  <c r="AH34" i="10"/>
  <c r="AI34" i="10" s="1"/>
  <c r="AT34" i="10" s="1"/>
  <c r="AG137" i="10"/>
  <c r="AJ137" i="10" s="1"/>
  <c r="AS137" i="10" s="1"/>
  <c r="AH197" i="10"/>
  <c r="AI197" i="10" s="1"/>
  <c r="AT197" i="10" s="1"/>
  <c r="AG98" i="10"/>
  <c r="AJ98" i="10" s="1"/>
  <c r="AS98" i="10" s="1"/>
  <c r="AH59" i="10"/>
  <c r="AI59" i="10" s="1"/>
  <c r="AT59" i="10" s="1"/>
  <c r="AG175" i="10"/>
  <c r="AJ175" i="10" s="1"/>
  <c r="AS175" i="10" s="1"/>
  <c r="AH36" i="10"/>
  <c r="AI36" i="10" s="1"/>
  <c r="AT36" i="10" s="1"/>
  <c r="AG92" i="10"/>
  <c r="AJ92" i="10" s="1"/>
  <c r="AS92" i="10" s="1"/>
  <c r="AG201" i="10"/>
  <c r="AJ201" i="10" s="1"/>
  <c r="AS201" i="10" s="1"/>
  <c r="AH157" i="10"/>
  <c r="AI157" i="10" s="1"/>
  <c r="AT157" i="10" s="1"/>
  <c r="AH130" i="10"/>
  <c r="AI130" i="10" s="1"/>
  <c r="AT130" i="10" s="1"/>
  <c r="AG37" i="10"/>
  <c r="AJ37" i="10" s="1"/>
  <c r="AS37" i="10" s="1"/>
  <c r="AG163" i="10"/>
  <c r="AJ163" i="10" s="1"/>
  <c r="AS163" i="10" s="1"/>
  <c r="AT150" i="10"/>
  <c r="AT69" i="10"/>
  <c r="AH113" i="10"/>
  <c r="AI113" i="10" s="1"/>
  <c r="AT113" i="10" s="1"/>
  <c r="AH138" i="10"/>
  <c r="AI138" i="10" s="1"/>
  <c r="AT138" i="10" s="1"/>
  <c r="AH127" i="10"/>
  <c r="AI127" i="10" s="1"/>
  <c r="AT127" i="10" s="1"/>
  <c r="AG61" i="10"/>
  <c r="AJ61" i="10" s="1"/>
  <c r="AS61" i="10" s="1"/>
  <c r="AH104" i="10"/>
  <c r="AI104" i="10" s="1"/>
  <c r="AH65" i="10"/>
  <c r="AI65" i="10" s="1"/>
  <c r="AT65" i="10" s="1"/>
  <c r="AH166" i="10"/>
  <c r="AI166" i="10" s="1"/>
  <c r="AT166" i="10" s="1"/>
  <c r="AG83" i="10"/>
  <c r="AJ83" i="10" s="1"/>
  <c r="AS83" i="10" s="1"/>
  <c r="AG9" i="10"/>
  <c r="AJ9" i="10" s="1"/>
  <c r="AS9" i="10" s="1"/>
  <c r="AG48" i="10"/>
  <c r="AJ48" i="10" s="1"/>
  <c r="AS48" i="10" s="1"/>
  <c r="AH146" i="10"/>
  <c r="AI146" i="10" s="1"/>
  <c r="AT146" i="10" s="1"/>
  <c r="AG133" i="10"/>
  <c r="AJ133" i="10" s="1"/>
  <c r="AS133" i="10" s="1"/>
  <c r="AG24" i="10"/>
  <c r="AJ24" i="10" s="1"/>
  <c r="AS24" i="10" s="1"/>
  <c r="AG134" i="10"/>
  <c r="AJ134" i="10" s="1"/>
  <c r="AS134" i="10" s="1"/>
  <c r="AH84" i="10"/>
  <c r="AI84" i="10" s="1"/>
  <c r="AT84" i="10" s="1"/>
  <c r="AG110" i="10"/>
  <c r="AJ110" i="10" s="1"/>
  <c r="AS110" i="10" s="1"/>
  <c r="AH38" i="10"/>
  <c r="AI38" i="10" s="1"/>
  <c r="AT38" i="10" s="1"/>
  <c r="AH18" i="10"/>
  <c r="AI18" i="10" s="1"/>
  <c r="AT18" i="10" s="1"/>
  <c r="AG67" i="10"/>
  <c r="AJ67" i="10" s="1"/>
  <c r="AS67" i="10" s="1"/>
  <c r="AG170" i="10"/>
  <c r="AJ170" i="10" s="1"/>
  <c r="AS170" i="10" s="1"/>
  <c r="AG117" i="10"/>
  <c r="AJ117" i="10" s="1"/>
  <c r="AS117" i="10" s="1"/>
  <c r="AH156" i="10"/>
  <c r="AI156" i="10" s="1"/>
  <c r="AT156" i="10" s="1"/>
  <c r="AG114" i="10"/>
  <c r="AJ114" i="10" s="1"/>
  <c r="AS114" i="10" s="1"/>
  <c r="AH12" i="10"/>
  <c r="AI12" i="10" s="1"/>
  <c r="AT12" i="10" s="1"/>
  <c r="AT104" i="10"/>
  <c r="AH29" i="10"/>
  <c r="AI29" i="10" s="1"/>
  <c r="AT29" i="10" s="1"/>
  <c r="AH85" i="10"/>
  <c r="AI85" i="10" s="1"/>
  <c r="AT85" i="10" s="1"/>
  <c r="AH90" i="10"/>
  <c r="AI90" i="10" s="1"/>
  <c r="AT90" i="10" s="1"/>
  <c r="AG81" i="10"/>
  <c r="AJ81" i="10" s="1"/>
  <c r="AS81" i="10" s="1"/>
  <c r="AH106" i="10"/>
  <c r="AI106" i="10" s="1"/>
  <c r="AT106" i="10" s="1"/>
  <c r="AG7" i="10"/>
  <c r="AJ7" i="10" s="1"/>
  <c r="AS7" i="10" s="1"/>
  <c r="AH144" i="10"/>
  <c r="AI144" i="10" s="1"/>
  <c r="AT144" i="10" s="1"/>
  <c r="AG5" i="10"/>
  <c r="AJ5" i="10" s="1"/>
  <c r="AS5" i="10" s="1"/>
  <c r="AG109" i="10"/>
  <c r="AJ109" i="10" s="1"/>
  <c r="AS109" i="10" s="1"/>
  <c r="AH22" i="10"/>
  <c r="AI22" i="10" s="1"/>
  <c r="AT22" i="10" s="1"/>
  <c r="AH108" i="10"/>
  <c r="AI108" i="10" s="1"/>
  <c r="AT108" i="10" s="1"/>
  <c r="AG66" i="10"/>
  <c r="AJ66" i="10" s="1"/>
  <c r="AS66" i="10" s="1"/>
  <c r="AH39" i="10"/>
  <c r="AI39" i="10" s="1"/>
  <c r="AT39" i="10" s="1"/>
  <c r="AH53" i="10"/>
  <c r="AI53" i="10" s="1"/>
  <c r="AT53" i="10" s="1"/>
  <c r="AG89" i="10"/>
  <c r="AJ89" i="10" s="1"/>
  <c r="AS89" i="10" s="1"/>
  <c r="AH115" i="10"/>
  <c r="AI115" i="10" s="1"/>
  <c r="AT115" i="10" s="1"/>
  <c r="AG143" i="10"/>
  <c r="AJ143" i="10" s="1"/>
  <c r="AS143" i="10" s="1"/>
  <c r="AH74" i="10"/>
  <c r="AI74" i="10" s="1"/>
  <c r="AT74" i="10" s="1"/>
  <c r="AG202" i="10"/>
  <c r="AJ202" i="10" s="1"/>
  <c r="AS202" i="10" s="1"/>
  <c r="AG125" i="10"/>
  <c r="AJ125" i="10" s="1"/>
  <c r="AS125" i="10" s="1"/>
  <c r="AH23" i="10"/>
  <c r="AI23" i="10" s="1"/>
  <c r="AT23" i="10" s="1"/>
  <c r="AH49" i="10"/>
  <c r="AI49" i="10" s="1"/>
  <c r="AT49" i="10" s="1"/>
  <c r="AH183" i="10"/>
  <c r="AI183" i="10" s="1"/>
  <c r="AT183" i="10" s="1"/>
  <c r="AH189" i="10"/>
  <c r="AI189" i="10" s="1"/>
  <c r="AT189" i="10" s="1"/>
  <c r="AG199" i="10"/>
  <c r="AJ199" i="10" s="1"/>
  <c r="AS199" i="10" s="1"/>
  <c r="AG164" i="10"/>
  <c r="AJ164" i="10" s="1"/>
  <c r="AS164" i="10" s="1"/>
  <c r="AG135" i="10"/>
  <c r="AJ135" i="10" s="1"/>
  <c r="AS135" i="10" s="1"/>
  <c r="AH124" i="10"/>
  <c r="AI124" i="10" s="1"/>
  <c r="AT124" i="10" s="1"/>
  <c r="AG76" i="10"/>
  <c r="AJ76" i="10" s="1"/>
  <c r="AS76" i="10" s="1"/>
  <c r="AH123" i="10"/>
  <c r="AI123" i="10" s="1"/>
  <c r="AT123" i="10" s="1"/>
  <c r="AH79" i="10"/>
  <c r="AI79" i="10" s="1"/>
  <c r="AT79" i="10" s="1"/>
  <c r="AG196" i="10"/>
  <c r="AJ196" i="10" s="1"/>
  <c r="AS196" i="10" s="1"/>
  <c r="AG160" i="10"/>
  <c r="AJ160" i="10" s="1"/>
  <c r="AS160" i="10" s="1"/>
  <c r="AH77" i="10"/>
  <c r="AI77" i="10" s="1"/>
  <c r="AT77" i="10" s="1"/>
  <c r="AH58" i="10"/>
  <c r="AI58" i="10" s="1"/>
  <c r="AT58" i="10" s="1"/>
  <c r="AG14" i="10"/>
  <c r="AJ14" i="10" s="1"/>
  <c r="AS14" i="10" s="1"/>
  <c r="AG68" i="10"/>
  <c r="AJ68" i="10" s="1"/>
  <c r="AS68" i="10" s="1"/>
  <c r="AH44" i="10"/>
  <c r="AI44" i="10" s="1"/>
  <c r="AT44" i="10" s="1"/>
  <c r="AH200" i="10"/>
  <c r="AI200" i="10" s="1"/>
  <c r="AT200" i="10" s="1"/>
  <c r="AG52" i="10"/>
  <c r="AJ52" i="10" s="1"/>
  <c r="AS52" i="10" s="1"/>
  <c r="AG122" i="10"/>
  <c r="AJ122" i="10" s="1"/>
  <c r="AS122" i="10" s="1"/>
  <c r="AG45" i="10"/>
  <c r="AJ45" i="10" s="1"/>
  <c r="AS45" i="10" s="1"/>
  <c r="AH30" i="10"/>
  <c r="AI30" i="10" s="1"/>
  <c r="AT30" i="10" s="1"/>
  <c r="AG154" i="10"/>
  <c r="AJ154" i="10" s="1"/>
  <c r="AS154" i="10" s="1"/>
  <c r="AH33" i="10"/>
  <c r="AI33" i="10" s="1"/>
  <c r="AT33" i="10" s="1"/>
  <c r="AH102" i="10"/>
  <c r="AI102" i="10" s="1"/>
  <c r="AT102" i="10" s="1"/>
  <c r="AH50" i="10"/>
  <c r="AI50" i="10" s="1"/>
  <c r="AT50" i="10" s="1"/>
  <c r="AH161" i="10"/>
  <c r="AI161" i="10" s="1"/>
  <c r="AT161" i="10" s="1"/>
  <c r="AH194" i="10"/>
  <c r="AI194" i="10" s="1"/>
  <c r="AT194" i="10" s="1"/>
  <c r="AH192" i="10"/>
  <c r="AI192" i="10" s="1"/>
  <c r="AT192" i="10" s="1"/>
  <c r="AH190" i="10"/>
  <c r="AI190" i="10" s="1"/>
  <c r="AT190" i="10" s="1"/>
  <c r="AG169" i="10"/>
  <c r="AJ169" i="10" s="1"/>
  <c r="AS169" i="10" s="1"/>
  <c r="AH193" i="10"/>
  <c r="AI193" i="10" s="1"/>
  <c r="AT193" i="10" s="1"/>
  <c r="AG64" i="10"/>
  <c r="AJ64" i="10" s="1"/>
  <c r="AS64" i="10" s="1"/>
  <c r="AH72" i="10"/>
  <c r="AI72" i="10" s="1"/>
  <c r="AT72" i="10" s="1"/>
  <c r="AH91" i="10"/>
  <c r="AI91" i="10" s="1"/>
  <c r="AT91" i="10" s="1"/>
  <c r="AH80" i="10"/>
  <c r="AI80" i="10" s="1"/>
  <c r="AT80" i="10" s="1"/>
  <c r="AH119" i="10"/>
  <c r="AI119" i="10" s="1"/>
  <c r="AT119" i="10" s="1"/>
  <c r="AG174" i="10"/>
  <c r="AJ174" i="10" s="1"/>
  <c r="AS174" i="10" s="1"/>
  <c r="AH132" i="10"/>
  <c r="AI132" i="10" s="1"/>
  <c r="AT132" i="10" s="1"/>
  <c r="AG131" i="10"/>
  <c r="AJ131" i="10" s="1"/>
  <c r="AS131" i="10" s="1"/>
  <c r="AH86" i="10"/>
  <c r="AI86" i="10" s="1"/>
  <c r="AT86" i="10" s="1"/>
  <c r="AH2" i="10"/>
  <c r="AI2" i="10" s="1"/>
  <c r="AT2" i="10" s="1"/>
  <c r="AG100" i="10"/>
  <c r="AJ100" i="10" s="1"/>
  <c r="AS100" i="10" s="1"/>
  <c r="AH13" i="10"/>
  <c r="AI13" i="10" s="1"/>
  <c r="AT13" i="10" s="1"/>
  <c r="AH152" i="10"/>
  <c r="AI152" i="10" s="1"/>
  <c r="AT152" i="10" s="1"/>
  <c r="AH116" i="10"/>
  <c r="AI116" i="10" s="1"/>
  <c r="AT116" i="10" s="1"/>
  <c r="AG177" i="10"/>
  <c r="AJ177" i="10" s="1"/>
  <c r="AS177" i="10" s="1"/>
  <c r="AG107" i="10"/>
  <c r="AJ107" i="10" s="1"/>
  <c r="AS107" i="10" s="1"/>
  <c r="AG149" i="10"/>
  <c r="AJ149" i="10" s="1"/>
  <c r="AS149" i="10" s="1"/>
  <c r="AG94" i="10"/>
  <c r="AJ94" i="10" s="1"/>
  <c r="AS94" i="10" s="1"/>
  <c r="AH126" i="10"/>
  <c r="AI126" i="10" s="1"/>
  <c r="AT126" i="10" s="1"/>
  <c r="AG51" i="10"/>
  <c r="AJ51" i="10" s="1"/>
  <c r="AS51" i="10" s="1"/>
  <c r="AG185" i="10"/>
  <c r="AJ185" i="10" s="1"/>
  <c r="AS185" i="10" s="1"/>
  <c r="AG46" i="10"/>
  <c r="AJ46" i="10" s="1"/>
  <c r="AS46" i="10" s="1"/>
  <c r="AG142" i="10"/>
  <c r="AJ142" i="10" s="1"/>
  <c r="AS142" i="10" s="1"/>
  <c r="AH171" i="10"/>
  <c r="AI171" i="10" s="1"/>
  <c r="AT171" i="10" s="1"/>
  <c r="AH60" i="10"/>
  <c r="AI60" i="10" s="1"/>
  <c r="AT60" i="10" s="1"/>
  <c r="AG195" i="10"/>
  <c r="AJ195" i="10" s="1"/>
  <c r="AS195" i="10" s="1"/>
  <c r="AG129" i="10"/>
  <c r="AJ129" i="10" s="1"/>
  <c r="AS129" i="10" s="1"/>
  <c r="AG15" i="10"/>
  <c r="AJ15" i="10" s="1"/>
  <c r="AS15" i="10" s="1"/>
  <c r="AG35" i="10"/>
  <c r="AJ35" i="10" s="1"/>
  <c r="AS35" i="10" s="1"/>
  <c r="AH32" i="10"/>
  <c r="AI32" i="10" s="1"/>
  <c r="AT32" i="10" s="1"/>
  <c r="AG181" i="10"/>
  <c r="AJ181" i="10" s="1"/>
  <c r="AS181" i="10" s="1"/>
  <c r="AH167" i="10"/>
  <c r="AI167" i="10" s="1"/>
  <c r="AT167" i="10" s="1"/>
  <c r="AH172" i="10"/>
  <c r="AI172" i="10" s="1"/>
  <c r="AT172" i="10" s="1"/>
  <c r="AH191" i="10"/>
  <c r="AI191" i="10" s="1"/>
  <c r="AT191" i="10" s="1"/>
  <c r="AH148" i="10"/>
  <c r="AI148" i="10" s="1"/>
  <c r="AT148" i="10" s="1"/>
  <c r="AH56" i="10"/>
  <c r="AI56" i="10" s="1"/>
  <c r="AT56" i="10" s="1"/>
  <c r="AG176" i="10"/>
  <c r="AJ176" i="10" s="1"/>
  <c r="AS176" i="10" s="1"/>
  <c r="AH31" i="10"/>
  <c r="AI31" i="10" s="1"/>
  <c r="AT31" i="10" s="1"/>
  <c r="AG178" i="10"/>
  <c r="AJ178" i="10" s="1"/>
  <c r="AS178" i="10" s="1"/>
  <c r="AH147" i="10"/>
  <c r="AI147" i="10" s="1"/>
  <c r="AT147" i="10" s="1"/>
  <c r="AG121" i="10"/>
  <c r="AJ121" i="10" s="1"/>
  <c r="AS121" i="10" s="1"/>
  <c r="AG28" i="10"/>
  <c r="AJ28" i="10" s="1"/>
  <c r="AS28" i="10" s="1"/>
  <c r="AH41" i="10"/>
  <c r="AI41" i="10" s="1"/>
  <c r="AT41" i="10" s="1"/>
  <c r="AH10" i="10"/>
  <c r="AI10" i="10" s="1"/>
  <c r="AT10" i="10" s="1"/>
  <c r="AH16" i="10"/>
  <c r="AI16" i="10" s="1"/>
  <c r="AT16" i="10" s="1"/>
  <c r="AH186" i="10"/>
  <c r="AI186" i="10" s="1"/>
  <c r="AT186" i="10" s="1"/>
  <c r="AH112" i="10"/>
  <c r="AI112" i="10" s="1"/>
  <c r="AT112" i="10" s="1"/>
  <c r="AH128" i="10"/>
  <c r="AI128" i="10" s="1"/>
  <c r="AT128" i="10" s="1"/>
  <c r="AH78" i="10"/>
  <c r="AI78" i="10" s="1"/>
  <c r="AT78" i="10" s="1"/>
  <c r="AH162" i="10"/>
  <c r="AI162" i="10" s="1"/>
  <c r="AT162" i="10" s="1"/>
  <c r="AT11" i="10"/>
  <c r="AG88" i="10"/>
  <c r="AJ88" i="10" s="1"/>
  <c r="AS88" i="10" s="1"/>
  <c r="AG70" i="10"/>
  <c r="AJ70" i="10" s="1"/>
  <c r="AS70" i="10" s="1"/>
  <c r="AH140" i="10"/>
  <c r="AI140" i="10" s="1"/>
  <c r="AT140" i="10" s="1"/>
  <c r="AH95" i="10"/>
  <c r="AI95" i="10" s="1"/>
  <c r="AT95" i="10" s="1"/>
  <c r="AH21" i="10"/>
  <c r="AI21" i="10" s="1"/>
  <c r="AT21" i="10" s="1"/>
  <c r="AH101" i="10"/>
  <c r="AI101" i="10" s="1"/>
  <c r="AT101" i="10" s="1"/>
  <c r="AG198" i="10"/>
  <c r="AJ198" i="10" s="1"/>
  <c r="AS198" i="10" s="1"/>
  <c r="AH75" i="10"/>
  <c r="AI75" i="10" s="1"/>
  <c r="AT75" i="10" s="1"/>
  <c r="AG73" i="10"/>
  <c r="AJ73" i="10" s="1"/>
  <c r="AS73" i="10" s="1"/>
  <c r="AG159" i="10"/>
  <c r="AJ159" i="10" s="1"/>
  <c r="AS159" i="10" s="1"/>
  <c r="AH188" i="10"/>
  <c r="AI188" i="10" s="1"/>
  <c r="AT188" i="10" s="1"/>
  <c r="AH155" i="10"/>
  <c r="AI155" i="10" s="1"/>
  <c r="AT155" i="10" s="1"/>
  <c r="AH87" i="10"/>
  <c r="AI87" i="10" s="1"/>
  <c r="AT87" i="10" s="1"/>
  <c r="AH55" i="10"/>
  <c r="AI55" i="10" s="1"/>
  <c r="AT55" i="10" s="1"/>
  <c r="AG11" i="10"/>
  <c r="AJ11" i="10" s="1"/>
  <c r="AS11" i="10" s="1"/>
  <c r="AH136" i="10"/>
  <c r="AI136" i="10" s="1"/>
  <c r="AT136" i="10" s="1"/>
  <c r="AG168" i="10"/>
  <c r="AJ168" i="10" s="1"/>
  <c r="AS168" i="10" s="1"/>
  <c r="AG25" i="10"/>
  <c r="AJ25" i="10" s="1"/>
  <c r="AS25" i="10" s="1"/>
  <c r="AG93" i="10"/>
  <c r="AJ93" i="10" s="1"/>
  <c r="AS93" i="10" s="1"/>
  <c r="AG8" i="10"/>
  <c r="AJ8" i="10" s="1"/>
  <c r="AS8" i="10" s="1"/>
  <c r="AG3" i="10"/>
  <c r="AJ3" i="10" s="1"/>
  <c r="AS3" i="10" s="1"/>
  <c r="AG173" i="10"/>
  <c r="AJ173" i="10" s="1"/>
  <c r="AS173" i="10" s="1"/>
  <c r="AG150" i="10"/>
  <c r="AJ150" i="10" s="1"/>
  <c r="AS150" i="10" s="1"/>
  <c r="AT88" i="10"/>
  <c r="AT82" i="10"/>
  <c r="AG47" i="10"/>
  <c r="AJ47" i="10" s="1"/>
  <c r="AS47" i="10" s="1"/>
  <c r="AG69" i="10"/>
  <c r="AJ69" i="10" s="1"/>
  <c r="AS69" i="10" s="1"/>
  <c r="AH184" i="10"/>
  <c r="AI184" i="10" s="1"/>
  <c r="AT184" i="10" s="1"/>
  <c r="AH96" i="10"/>
  <c r="AI96" i="10" s="1"/>
  <c r="AT96" i="10" s="1"/>
  <c r="AG27" i="10"/>
  <c r="AJ27" i="10" s="1"/>
  <c r="AS27" i="10" s="1"/>
  <c r="AG158" i="10"/>
  <c r="AJ158" i="10" s="1"/>
  <c r="AS158" i="10" s="1"/>
  <c r="AH62" i="10"/>
  <c r="AI62" i="10" s="1"/>
  <c r="AT62" i="10" s="1"/>
  <c r="AG118" i="10"/>
  <c r="AJ118" i="10" s="1"/>
  <c r="AS118" i="10" s="1"/>
  <c r="AH139" i="10"/>
  <c r="AI139" i="10" s="1"/>
  <c r="AT139" i="10" s="1"/>
  <c r="AH187" i="10"/>
  <c r="AI187" i="10" s="1"/>
  <c r="AT187" i="10" s="1"/>
  <c r="AG40" i="10"/>
  <c r="AJ40" i="10" s="1"/>
  <c r="AS40" i="10" s="1"/>
  <c r="AG42" i="10"/>
  <c r="AJ42" i="10" s="1"/>
  <c r="AS42" i="10" s="1"/>
  <c r="AG153" i="10"/>
  <c r="AJ153" i="10" s="1"/>
  <c r="AS153" i="10" s="1"/>
  <c r="AH57" i="10"/>
  <c r="AI57" i="10" s="1"/>
  <c r="AT57" i="10" s="1"/>
  <c r="AH145" i="10"/>
  <c r="AI145" i="10" s="1"/>
  <c r="AT145" i="10" s="1"/>
  <c r="AG151" i="10"/>
  <c r="AJ151" i="10" s="1"/>
  <c r="AS151" i="10" s="1"/>
  <c r="AH4" i="10"/>
  <c r="AI4" i="10" s="1"/>
  <c r="AT4" i="10" s="1"/>
  <c r="AG17" i="10"/>
  <c r="AJ17" i="10" s="1"/>
  <c r="AS17" i="10" s="1"/>
  <c r="AG179" i="10"/>
  <c r="AJ179" i="10" s="1"/>
  <c r="AS179" i="10" s="1"/>
  <c r="AT195" i="10"/>
  <c r="AH103" i="10"/>
  <c r="AI103" i="10" s="1"/>
  <c r="AT103" i="10" s="1"/>
  <c r="AG180" i="10"/>
  <c r="AJ180" i="10" s="1"/>
  <c r="AS180" i="10" s="1"/>
  <c r="AG111" i="10"/>
  <c r="AJ111" i="10" s="1"/>
  <c r="AS111" i="10" s="1"/>
  <c r="AG182" i="10"/>
  <c r="AJ182" i="10" s="1"/>
  <c r="AS182" i="10" s="1"/>
  <c r="AG82" i="10"/>
  <c r="AJ82" i="10" s="1"/>
  <c r="AS82" i="10" s="1"/>
  <c r="AG43" i="10"/>
  <c r="AJ43" i="10" s="1"/>
  <c r="AS43" i="10" s="1"/>
  <c r="AT68" i="10"/>
  <c r="AG105" i="10"/>
  <c r="AJ105" i="10" s="1"/>
  <c r="AS105" i="10" s="1"/>
  <c r="AG141" i="10"/>
  <c r="AJ141" i="10" s="1"/>
  <c r="AS141" i="10" s="1"/>
  <c r="AH71" i="10"/>
  <c r="AI71" i="10" s="1"/>
  <c r="AT71" i="10" s="1"/>
  <c r="AH99" i="10"/>
  <c r="AI99" i="10" s="1"/>
  <c r="AT99" i="10" s="1"/>
  <c r="AT105" i="10"/>
  <c r="AT131" i="10"/>
  <c r="AT141" i="10"/>
  <c r="AH54" i="10"/>
  <c r="AI54" i="10" s="1"/>
  <c r="AT54" i="10" s="1"/>
  <c r="AT196" i="10"/>
  <c r="AT151" i="10"/>
  <c r="AJ127" i="10"/>
  <c r="AS127" i="10" s="1"/>
  <c r="AT149" i="10"/>
  <c r="AT9" i="10"/>
  <c r="AT160" i="10"/>
  <c r="AT137" i="10"/>
  <c r="AT63" i="10"/>
  <c r="AT37" i="10"/>
  <c r="AT35" i="10"/>
  <c r="AT125" i="10"/>
  <c r="AT3" i="10"/>
  <c r="AT8" i="10"/>
  <c r="AT118" i="10"/>
  <c r="AT154" i="10"/>
  <c r="AT122" i="10"/>
  <c r="AT46" i="10"/>
  <c r="AT174" i="10"/>
  <c r="AT40" i="10"/>
  <c r="AT26" i="10"/>
  <c r="AT24" i="10"/>
  <c r="AT42" i="10"/>
  <c r="AT70" i="10"/>
  <c r="AT153" i="10"/>
  <c r="AT14" i="10"/>
  <c r="AT177" i="10"/>
  <c r="AT117" i="10"/>
  <c r="AT163" i="10"/>
  <c r="AT19" i="10"/>
  <c r="AT25" i="10"/>
  <c r="AT28" i="10"/>
  <c r="AT179" i="10"/>
  <c r="AT81" i="10"/>
  <c r="AT180" i="10"/>
  <c r="AT173" i="10"/>
  <c r="AT170" i="10"/>
  <c r="AT52" i="10"/>
  <c r="AT45" i="10"/>
  <c r="AT27" i="10"/>
  <c r="AT89" i="10"/>
  <c r="AT98" i="10"/>
  <c r="AT94" i="10"/>
  <c r="AT165" i="10"/>
  <c r="AT135" i="10"/>
  <c r="AT133" i="10"/>
  <c r="AT17" i="10"/>
  <c r="AT7" i="10"/>
  <c r="AT48" i="10"/>
  <c r="AT66" i="10"/>
  <c r="AT201" i="10"/>
  <c r="AT168" i="10"/>
  <c r="AT47" i="10"/>
  <c r="AT76" i="10"/>
  <c r="AJ162" i="10"/>
  <c r="AS162" i="10" s="1"/>
  <c r="AJ197" i="10"/>
  <c r="AS197" i="10" s="1"/>
  <c r="AJ101" i="10"/>
  <c r="AS101" i="10" s="1"/>
  <c r="AJ39" i="10"/>
  <c r="AS39" i="10" s="1"/>
  <c r="AJ53" i="10"/>
  <c r="AS53" i="10" s="1"/>
  <c r="AJ167" i="10"/>
  <c r="AS167" i="10" s="1"/>
  <c r="AJ113" i="10"/>
  <c r="AS113" i="10" s="1"/>
  <c r="AJ29" i="10"/>
  <c r="AS29" i="10" s="1"/>
  <c r="AJ156" i="10"/>
  <c r="AS156" i="10" s="1"/>
  <c r="AJ148" i="10"/>
  <c r="AS148" i="10" s="1"/>
  <c r="AJ132" i="10"/>
  <c r="AS132" i="10" s="1"/>
  <c r="AJ62" i="10"/>
  <c r="AS62" i="10" s="1"/>
  <c r="AJ56" i="10"/>
  <c r="AS56" i="10" s="1"/>
  <c r="AJ41" i="10"/>
  <c r="AS41" i="10" s="1"/>
  <c r="AJ72" i="10"/>
  <c r="AS72" i="10" s="1"/>
  <c r="AJ104" i="10"/>
  <c r="AS104" i="10" s="1"/>
  <c r="AJ147" i="10"/>
  <c r="AS147" i="10" s="1"/>
  <c r="AJ16" i="10"/>
  <c r="AS16" i="10" s="1"/>
  <c r="AJ36" i="10"/>
  <c r="AS36" i="10" s="1"/>
  <c r="AJ6" i="10"/>
  <c r="AS6" i="10" s="1"/>
  <c r="AJ44" i="10"/>
  <c r="AS44" i="10" s="1"/>
  <c r="AJ38" i="10"/>
  <c r="AS38" i="10" s="1"/>
  <c r="AJ74" i="10"/>
  <c r="AS74" i="10" s="1"/>
  <c r="AJ189" i="10"/>
  <c r="AS189" i="10" s="1"/>
  <c r="AJ186" i="10"/>
  <c r="AS186" i="10" s="1"/>
  <c r="AJ116" i="10"/>
  <c r="AS116" i="10" s="1"/>
  <c r="AJ108" i="10"/>
  <c r="AS108" i="10" s="1"/>
  <c r="AJ112" i="10"/>
  <c r="AS112" i="10" s="1"/>
  <c r="AJ128" i="10"/>
  <c r="AS128" i="10" s="1"/>
  <c r="AJ140" i="10"/>
  <c r="AS140" i="10" s="1"/>
  <c r="AJ136" i="10"/>
  <c r="AS136" i="10" s="1"/>
  <c r="AJ126" i="10"/>
  <c r="AS126" i="10" s="1"/>
  <c r="AJ138" i="10"/>
  <c r="AS138" i="10" s="1"/>
  <c r="AJ103" i="10"/>
  <c r="AS103" i="10" s="1"/>
  <c r="AJ183" i="10"/>
  <c r="AS183" i="10" s="1"/>
  <c r="AJ77" i="10"/>
  <c r="AS77" i="10" s="1"/>
  <c r="AJ97" i="10"/>
  <c r="AS97" i="10" s="1"/>
  <c r="AJ31" i="10"/>
  <c r="AS31" i="10" s="1"/>
  <c r="AJ80" i="10"/>
  <c r="AS80" i="10" s="1"/>
  <c r="AJ18" i="10"/>
  <c r="AS18" i="10" s="1"/>
  <c r="AJ194" i="10"/>
  <c r="AS194" i="10" s="1"/>
  <c r="AJ34" i="10"/>
  <c r="AS34" i="10" s="1"/>
  <c r="AJ22" i="10"/>
  <c r="AS22" i="10" s="1"/>
  <c r="AJ63" i="10"/>
  <c r="AS63" i="10" s="1"/>
  <c r="AJ23" i="10"/>
  <c r="AS23" i="10" s="1"/>
  <c r="AJ139" i="10"/>
  <c r="AS139" i="10" s="1"/>
  <c r="AJ171" i="10"/>
  <c r="AS171" i="10" s="1"/>
  <c r="AJ187" i="10"/>
  <c r="AS187" i="10" s="1"/>
  <c r="AJ60" i="10"/>
  <c r="AS60" i="10" s="1"/>
  <c r="AJ30" i="10"/>
  <c r="AS30" i="10" s="1"/>
  <c r="AJ50" i="10"/>
  <c r="AS50" i="10" s="1"/>
  <c r="AJ21" i="10"/>
  <c r="AS21" i="10" s="1"/>
  <c r="AJ130" i="10"/>
  <c r="AS130" i="10" s="1"/>
  <c r="AJ192" i="10"/>
  <c r="AS192" i="10" s="1"/>
  <c r="AJ152" i="10"/>
  <c r="AS152" i="10" s="1"/>
  <c r="AJ144" i="10"/>
  <c r="AS144" i="10" s="1"/>
  <c r="AJ49" i="10"/>
  <c r="AS49" i="10" s="1"/>
  <c r="AJ106" i="10"/>
  <c r="AS106" i="10" s="1"/>
  <c r="AJ157" i="10"/>
  <c r="AS157" i="10" s="1"/>
  <c r="AJ10" i="10"/>
  <c r="AS10" i="10" s="1"/>
  <c r="AJ78" i="10"/>
  <c r="AS78" i="10" s="1"/>
  <c r="AJ58" i="10"/>
  <c r="AS58" i="10" s="1"/>
  <c r="AJ13" i="10"/>
  <c r="AS13" i="10" s="1"/>
  <c r="AJ91" i="10"/>
  <c r="AS91" i="10" s="1"/>
  <c r="AJ119" i="10"/>
  <c r="AS119" i="10" s="1"/>
  <c r="AJ161" i="10"/>
  <c r="AS161" i="10" s="1"/>
  <c r="AJ32" i="10"/>
  <c r="AS32" i="10" s="1"/>
  <c r="AJ55" i="10"/>
  <c r="AS55" i="10" s="1"/>
  <c r="AJ12" i="10"/>
  <c r="AS12" i="10" s="1"/>
  <c r="AJ33" i="10"/>
  <c r="AS33" i="10" s="1"/>
  <c r="AJ166" i="10"/>
  <c r="AS166" i="10" s="1"/>
  <c r="AJ146" i="10"/>
  <c r="AS146" i="10" s="1"/>
  <c r="B2" i="10" l="1"/>
  <c r="B5" i="10" l="1"/>
  <c r="B6" i="10" s="1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9"/>
            <color indexed="81"/>
            <rFont val="Tahoma"/>
            <family val="2"/>
          </rPr>
          <t>Nominal Input Voltage</t>
        </r>
      </text>
    </comment>
  </commentList>
</comments>
</file>

<file path=xl/sharedStrings.xml><?xml version="1.0" encoding="utf-8"?>
<sst xmlns="http://schemas.openxmlformats.org/spreadsheetml/2006/main" count="227" uniqueCount="153">
  <si>
    <t>Vin</t>
  </si>
  <si>
    <t>Vout</t>
  </si>
  <si>
    <t>Iout</t>
  </si>
  <si>
    <t>Lo</t>
  </si>
  <si>
    <t>Co</t>
  </si>
  <si>
    <t>Resr</t>
  </si>
  <si>
    <t>D'</t>
  </si>
  <si>
    <t>Fsw</t>
  </si>
  <si>
    <t>Tsw</t>
  </si>
  <si>
    <t>wn</t>
  </si>
  <si>
    <t>Qp</t>
  </si>
  <si>
    <t>wz1</t>
  </si>
  <si>
    <t>wz2</t>
  </si>
  <si>
    <t>wp1</t>
  </si>
  <si>
    <t>M</t>
  </si>
  <si>
    <t>mc</t>
  </si>
  <si>
    <t>Sn</t>
  </si>
  <si>
    <t>Rout</t>
  </si>
  <si>
    <t>Vout(s)/Verr(s)</t>
  </si>
  <si>
    <t>s</t>
  </si>
  <si>
    <t>g1</t>
  </si>
  <si>
    <t>g2</t>
  </si>
  <si>
    <t>g3</t>
  </si>
  <si>
    <t>g4</t>
  </si>
  <si>
    <t>|Vout(s)/Verr(s)|</t>
  </si>
  <si>
    <t>ang</t>
  </si>
  <si>
    <t>f</t>
  </si>
  <si>
    <t>°</t>
  </si>
  <si>
    <t>db</t>
  </si>
  <si>
    <t>Design Parameters</t>
  </si>
  <si>
    <t>Min</t>
  </si>
  <si>
    <t>Nominal</t>
  </si>
  <si>
    <t>Max</t>
  </si>
  <si>
    <t>Dmax</t>
  </si>
  <si>
    <t>Units</t>
  </si>
  <si>
    <t>V</t>
  </si>
  <si>
    <t>A</t>
  </si>
  <si>
    <t>%</t>
  </si>
  <si>
    <t>Vdrv</t>
  </si>
  <si>
    <t>Which Resistor Would you Like to Select?</t>
  </si>
  <si>
    <t>Ideal Vout</t>
  </si>
  <si>
    <t>Ω</t>
  </si>
  <si>
    <t>Device Current Limit</t>
  </si>
  <si>
    <t>mV</t>
  </si>
  <si>
    <t>kHz</t>
  </si>
  <si>
    <t>Maximum Average Inductor Current</t>
  </si>
  <si>
    <t>A/s</t>
  </si>
  <si>
    <t>Desired Peak to Peak Ripple Percentage At Low Vin</t>
  </si>
  <si>
    <t>Peak to Peak Current Ripple at Low Vin</t>
  </si>
  <si>
    <t>Assumed Efficiency</t>
  </si>
  <si>
    <t>Minimum Inductor Value</t>
  </si>
  <si>
    <t>μH</t>
  </si>
  <si>
    <t>Inductor Value Used</t>
  </si>
  <si>
    <t>Peak to Peak Current Ripple at Low Vin, Actual Inductor</t>
  </si>
  <si>
    <t>Irms</t>
  </si>
  <si>
    <t>Ipeak</t>
  </si>
  <si>
    <t>Peak Current</t>
  </si>
  <si>
    <t>Desired Current Limit</t>
  </si>
  <si>
    <t>Recommended Current Sense Resistor</t>
  </si>
  <si>
    <t>Current Sense Resistor Used</t>
  </si>
  <si>
    <r>
      <t>m</t>
    </r>
    <r>
      <rPr>
        <sz val="11"/>
        <color theme="1"/>
        <rFont val="Calibri"/>
        <family val="2"/>
      </rPr>
      <t>Ω</t>
    </r>
  </si>
  <si>
    <t>Power Loss in Rsense at low vin, max rated current</t>
  </si>
  <si>
    <t>D</t>
  </si>
  <si>
    <t>Nom</t>
  </si>
  <si>
    <t>Real Peak Current (min)</t>
  </si>
  <si>
    <t>Real Peak Current (max)</t>
  </si>
  <si>
    <t>W</t>
  </si>
  <si>
    <t>Output Capacitance Used</t>
  </si>
  <si>
    <t>ESR at Switching Frequency</t>
  </si>
  <si>
    <t>Input Capacitance Used</t>
  </si>
  <si>
    <t>Voltage Required</t>
  </si>
  <si>
    <t>Power Dissipation</t>
  </si>
  <si>
    <t>Switching Losses</t>
  </si>
  <si>
    <t>Conduction Losses</t>
  </si>
  <si>
    <t>RDS,ON</t>
  </si>
  <si>
    <t>Forward Voltage Drop</t>
  </si>
  <si>
    <t>Power Loss</t>
  </si>
  <si>
    <t>Required Reverse Voltage</t>
  </si>
  <si>
    <t>Average Current</t>
  </si>
  <si>
    <t>Output Voltage Ripple</t>
  </si>
  <si>
    <t>Current Ripple Rating Required</t>
  </si>
  <si>
    <t>μF</t>
  </si>
  <si>
    <t>Input Voltage Ripple</t>
  </si>
  <si>
    <t>Input Current Ripple</t>
  </si>
  <si>
    <t>Worst Case Input Voltage</t>
  </si>
  <si>
    <t>nC</t>
  </si>
  <si>
    <t>Switch Turn On Time</t>
  </si>
  <si>
    <t>Switch Turn Off Time</t>
  </si>
  <si>
    <t>ns</t>
  </si>
  <si>
    <t>Graph Settings</t>
  </si>
  <si>
    <t>Minimum Frequency</t>
  </si>
  <si>
    <t>Maximum Frequency</t>
  </si>
  <si>
    <t>Hz</t>
  </si>
  <si>
    <t>R</t>
  </si>
  <si>
    <t>C1</t>
  </si>
  <si>
    <t>C2</t>
  </si>
  <si>
    <t>ota1</t>
  </si>
  <si>
    <t>ota2</t>
  </si>
  <si>
    <t>ota3</t>
  </si>
  <si>
    <t>g(s)</t>
  </si>
  <si>
    <t>nF</t>
  </si>
  <si>
    <t>|(g(s)|</t>
  </si>
  <si>
    <t>Desired Crossover Frequency</t>
  </si>
  <si>
    <t>Pole Location</t>
  </si>
  <si>
    <t>Zero Location</t>
  </si>
  <si>
    <t>R value used</t>
  </si>
  <si>
    <t>C1 value used</t>
  </si>
  <si>
    <t>C2 value used</t>
  </si>
  <si>
    <t>Gain At Frequency</t>
  </si>
  <si>
    <t>Suggested RC value</t>
  </si>
  <si>
    <t>Suggested CC1 value</t>
  </si>
  <si>
    <t>Suggested CC2 value</t>
  </si>
  <si>
    <t>It is intended to provide first pass values and does not replace simulation and prototyping.</t>
  </si>
  <si>
    <t>Enter values into the green cells in order by sheet for best results.</t>
  </si>
  <si>
    <t>Nominal I Limit</t>
  </si>
  <si>
    <t>Minimum I Limit</t>
  </si>
  <si>
    <t>Maximum I Limit</t>
  </si>
  <si>
    <t>Part Number</t>
  </si>
  <si>
    <t>Sa</t>
  </si>
  <si>
    <t>Qg @ 6V</t>
  </si>
  <si>
    <t>mΩ</t>
  </si>
  <si>
    <t>Inductor ESR</t>
  </si>
  <si>
    <t>Ri</t>
  </si>
  <si>
    <t>Rsw_eq</t>
  </si>
  <si>
    <t>Rfet</t>
  </si>
  <si>
    <t>rL</t>
  </si>
  <si>
    <t>Mccm</t>
  </si>
  <si>
    <t>Se</t>
  </si>
  <si>
    <t>C0</t>
  </si>
  <si>
    <t>F</t>
  </si>
  <si>
    <t>OTA Parameters</t>
  </si>
  <si>
    <t>R0</t>
  </si>
  <si>
    <t>wz1e</t>
  </si>
  <si>
    <t>wz2e</t>
  </si>
  <si>
    <t>wp1e</t>
  </si>
  <si>
    <t>wp2e</t>
  </si>
  <si>
    <t>Rotaesd</t>
  </si>
  <si>
    <t>comp_C1</t>
  </si>
  <si>
    <t>comp_C2</t>
  </si>
  <si>
    <t>gm</t>
  </si>
  <si>
    <r>
      <t>mV/</t>
    </r>
    <r>
      <rPr>
        <sz val="11"/>
        <color theme="1"/>
        <rFont val="Calibri"/>
        <family val="2"/>
      </rPr>
      <t>μs</t>
    </r>
  </si>
  <si>
    <r>
      <t>Sa (mV/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s)</t>
    </r>
  </si>
  <si>
    <t>NOTICE OF PROBABLE EXCEL SOFTARE SPECIFIC BUG:</t>
  </si>
  <si>
    <t>Graphs below may sometimes fail to automatically recalculate despite having all automatic recalculation options in EXCEL enabled.</t>
  </si>
  <si>
    <t>Problem may be resolved by either:  1) Changing R value in cell B8 to a DIFFERENT value and then reentering the originally desired value, or 2) saving the file under a different file name.</t>
  </si>
  <si>
    <t>Reserved</t>
  </si>
  <si>
    <t>Fsw (Typ)</t>
  </si>
  <si>
    <t>Fsw (max)</t>
  </si>
  <si>
    <t>Fsw (min)</t>
  </si>
  <si>
    <t>NCV8878 Boost Design Tool Revision 1 (11NOV16)</t>
  </si>
  <si>
    <t>This tool is intended to assist the user when designing with the NCV8878 for continuous conduction mode boost applications.</t>
  </si>
  <si>
    <t>Rev 1 (11NOV16):  Corrected some unit utilization errors.</t>
  </si>
  <si>
    <t>NCV887801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</si>
</sst>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>
      <protection hidden="1"/>
    </xf>
    <xf numFmtId="0" fontId="1" fillId="3" borderId="0">
      <protection locked="0"/>
    </xf>
  </cellStyleXfs>
  <cellXfs count="32">
    <xf numFmtId="0" fontId="0" fillId="0" borderId="0" xfId="0"/>
    <xf numFmtId="0" fontId="3" fillId="0" borderId="0" xfId="0" applyFont="1"/>
    <xf numFmtId="0" fontId="1" fillId="3" borderId="0" xfId="2">
      <protection locked="0"/>
    </xf>
    <xf numFmtId="0" fontId="2" fillId="2" borderId="1" xfId="1">
      <protection hidden="1"/>
    </xf>
    <xf numFmtId="0" fontId="3" fillId="0" borderId="0" xfId="0" applyFont="1" applyFill="1" applyBorder="1"/>
    <xf numFmtId="0" fontId="0" fillId="0" borderId="0" xfId="0" applyProtection="1">
      <protection hidden="1"/>
    </xf>
    <xf numFmtId="0" fontId="5" fillId="0" borderId="0" xfId="0" applyFont="1"/>
    <xf numFmtId="0" fontId="0" fillId="0" borderId="0" xfId="0" applyProtection="1">
      <protection locked="0" hidden="1"/>
    </xf>
    <xf numFmtId="0" fontId="2" fillId="2" borderId="1" xfId="1" applyProtection="1">
      <protection locked="0"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0" borderId="0" xfId="2" applyFill="1" applyProtection="1"/>
    <xf numFmtId="0" fontId="1" fillId="0" borderId="0" xfId="2" applyFill="1" applyBorder="1" applyProtection="1"/>
    <xf numFmtId="0" fontId="1" fillId="0" borderId="0" xfId="2" applyFill="1" applyProtection="1">
      <protection hidden="1"/>
    </xf>
    <xf numFmtId="0" fontId="8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" fillId="3" borderId="0" xfId="2" applyProtection="1">
      <protection locked="0"/>
    </xf>
    <xf numFmtId="0" fontId="0" fillId="0" borderId="0" xfId="0" applyProtection="1"/>
    <xf numFmtId="0" fontId="9" fillId="0" borderId="0" xfId="0" applyFont="1"/>
    <xf numFmtId="0" fontId="10" fillId="4" borderId="2" xfId="0" applyFont="1" applyFill="1" applyBorder="1"/>
    <xf numFmtId="0" fontId="5" fillId="4" borderId="3" xfId="0" applyFont="1" applyFill="1" applyBorder="1"/>
    <xf numFmtId="0" fontId="5" fillId="4" borderId="3" xfId="0" applyFont="1" applyFill="1" applyBorder="1" applyProtection="1">
      <protection hidden="1"/>
    </xf>
    <xf numFmtId="0" fontId="5" fillId="4" borderId="4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Protection="1">
      <protection hidden="1"/>
    </xf>
    <xf numFmtId="0" fontId="5" fillId="4" borderId="5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Protection="1">
      <protection hidden="1"/>
    </xf>
    <xf numFmtId="0" fontId="5" fillId="4" borderId="7" xfId="0" applyFont="1" applyFill="1" applyBorder="1" applyProtection="1">
      <protection hidden="1"/>
    </xf>
    <xf numFmtId="0" fontId="5" fillId="4" borderId="8" xfId="0" applyFont="1" applyFill="1" applyBorder="1" applyProtection="1">
      <protection hidden="1"/>
    </xf>
    <xf numFmtId="0" fontId="5" fillId="4" borderId="9" xfId="0" applyFont="1" applyFill="1" applyBorder="1" applyProtection="1">
      <protection hidden="1"/>
    </xf>
    <xf numFmtId="2" fontId="1" fillId="3" borderId="0" xfId="2" applyNumberFormat="1">
      <protection locked="0"/>
    </xf>
  </cellXfs>
  <cellStyles count="3">
    <cellStyle name="Calculation" xfId="1" builtinId="22" customBuiltin="1"/>
    <cellStyle name="Normal" xfId="0" builtinId="0"/>
    <cellStyle name="ONInput" xfId="2"/>
  </cellStyles>
  <dxfs count="2">
    <dxf>
      <font>
        <color theme="5" tint="-0.24994659260841701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</a:t>
            </a:r>
            <a:r>
              <a:rPr lang="en-US" baseline="0"/>
              <a:t> / Verr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Compensation'!$AI$1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Compensation'!$AI$2:$AI$201</c:f>
              <c:numCache>
                <c:formatCode>General</c:formatCode>
                <c:ptCount val="200"/>
                <c:pt idx="0">
                  <c:v>-8.8429556444369353E-2</c:v>
                </c:pt>
                <c:pt idx="1">
                  <c:v>-9.403932870544611E-2</c:v>
                </c:pt>
                <c:pt idx="2">
                  <c:v>-0.10000497110885968</c:v>
                </c:pt>
                <c:pt idx="3">
                  <c:v>-0.10634905893750952</c:v>
                </c:pt>
                <c:pt idx="4">
                  <c:v>-0.1130955995300454</c:v>
                </c:pt>
                <c:pt idx="5">
                  <c:v>-0.12027012311288683</c:v>
                </c:pt>
                <c:pt idx="6">
                  <c:v>-0.1278997793914913</c:v>
                </c:pt>
                <c:pt idx="7">
                  <c:v>-0.13601344026562076</c:v>
                </c:pt>
                <c:pt idx="8">
                  <c:v>-0.14464180905639368</c:v>
                </c:pt>
                <c:pt idx="9">
                  <c:v>-0.1538175366573504</c:v>
                </c:pt>
                <c:pt idx="10">
                  <c:v>-0.16357534504772789</c:v>
                </c:pt>
                <c:pt idx="11">
                  <c:v>-0.17395215863377173</c:v>
                </c:pt>
                <c:pt idx="12">
                  <c:v>-0.1849872439131329</c:v>
                </c:pt>
                <c:pt idx="13">
                  <c:v>-0.19672235798858653</c:v>
                </c:pt>
                <c:pt idx="14">
                  <c:v>-0.2092019064902641</c:v>
                </c:pt>
                <c:pt idx="15">
                  <c:v>-0.22247311150065338</c:v>
                </c:pt>
                <c:pt idx="16">
                  <c:v>-0.23658619011377122</c:v>
                </c:pt>
                <c:pt idx="17">
                  <c:v>-0.25159454429938205</c:v>
                </c:pt>
                <c:pt idx="18">
                  <c:v>-0.26755496278482921</c:v>
                </c:pt>
                <c:pt idx="19">
                  <c:v>-0.28452783571147089</c:v>
                </c:pt>
                <c:pt idx="20">
                  <c:v>-0.30257738286949798</c:v>
                </c:pt>
                <c:pt idx="21">
                  <c:v>-0.32177189636464226</c:v>
                </c:pt>
                <c:pt idx="22">
                  <c:v>-0.34218399862283705</c:v>
                </c:pt>
                <c:pt idx="23">
                  <c:v>-0.36389091669438073</c:v>
                </c:pt>
                <c:pt idx="24">
                  <c:v>-0.38697477387795148</c:v>
                </c:pt>
                <c:pt idx="25">
                  <c:v>-0.41152289974664713</c:v>
                </c:pt>
                <c:pt idx="26">
                  <c:v>-0.43762815972362035</c:v>
                </c:pt>
                <c:pt idx="27">
                  <c:v>-0.46538930542365514</c:v>
                </c:pt>
                <c:pt idx="28">
                  <c:v>-0.49491134704930956</c:v>
                </c:pt>
                <c:pt idx="29">
                  <c:v>-0.5263059492062182</c:v>
                </c:pt>
                <c:pt idx="30">
                  <c:v>-0.55969185158178247</c:v>
                </c:pt>
                <c:pt idx="31">
                  <c:v>-0.59519531601459152</c:v>
                </c:pt>
                <c:pt idx="32">
                  <c:v>-0.63295060156881133</c:v>
                </c:pt>
                <c:pt idx="33">
                  <c:v>-0.67310046931801093</c:v>
                </c:pt>
                <c:pt idx="34">
                  <c:v>-0.71579671863637773</c:v>
                </c:pt>
                <c:pt idx="35">
                  <c:v>-0.76120075689199862</c:v>
                </c:pt>
                <c:pt idx="36">
                  <c:v>-0.80948420453565184</c:v>
                </c:pt>
                <c:pt idx="37">
                  <c:v>-0.8608295376800702</c:v>
                </c:pt>
                <c:pt idx="38">
                  <c:v>-0.91543077036686893</c:v>
                </c:pt>
                <c:pt idx="39">
                  <c:v>-0.97349417882107692</c:v>
                </c:pt>
                <c:pt idx="40">
                  <c:v>-1.0352390700954663</c:v>
                </c:pt>
                <c:pt idx="41">
                  <c:v>-1.1008985976060863</c:v>
                </c:pt>
                <c:pt idx="42">
                  <c:v>-1.1707206261559902</c:v>
                </c:pt>
                <c:pt idx="43">
                  <c:v>-1.2449686491323975</c:v>
                </c:pt>
                <c:pt idx="44">
                  <c:v>-1.3239227606418724</c:v>
                </c:pt>
                <c:pt idx="45">
                  <c:v>-1.4078806854130232</c:v>
                </c:pt>
                <c:pt idx="46">
                  <c:v>-1.4971588693444899</c:v>
                </c:pt>
                <c:pt idx="47">
                  <c:v>-1.5920936336001887</c:v>
                </c:pt>
                <c:pt idx="48">
                  <c:v>-1.6930423951478026</c:v>
                </c:pt>
                <c:pt idx="49">
                  <c:v>-1.8003849565932553</c:v>
                </c:pt>
                <c:pt idx="50">
                  <c:v>-1.9145248680715765</c:v>
                </c:pt>
                <c:pt idx="51">
                  <c:v>-2.0358908638031692</c:v>
                </c:pt>
                <c:pt idx="52">
                  <c:v>-2.1649383756980733</c:v>
                </c:pt>
                <c:pt idx="53">
                  <c:v>-2.3021511260740319</c:v>
                </c:pt>
                <c:pt idx="54">
                  <c:v>-2.4480428011236972</c:v>
                </c:pt>
                <c:pt idx="55">
                  <c:v>-2.6031588062006907</c:v>
                </c:pt>
                <c:pt idx="56">
                  <c:v>-2.7680781032610611</c:v>
                </c:pt>
                <c:pt idx="57">
                  <c:v>-2.9434151298630424</c:v>
                </c:pt>
                <c:pt idx="58">
                  <c:v>-3.1298217979508016</c:v>
                </c:pt>
                <c:pt idx="59">
                  <c:v>-3.3279895691802239</c:v>
                </c:pt>
                <c:pt idx="60">
                  <c:v>-3.5386516017250935</c:v>
                </c:pt>
                <c:pt idx="61">
                  <c:v>-3.7625849612688516</c:v>
                </c:pt>
                <c:pt idx="62">
                  <c:v>-4.0006128861532169</c:v>
                </c:pt>
                <c:pt idx="63">
                  <c:v>-4.2536070933377896</c:v>
                </c:pt>
                <c:pt idx="64">
                  <c:v>-4.5224901078108655</c:v>
                </c:pt>
                <c:pt idx="65">
                  <c:v>-4.8082375932667372</c:v>
                </c:pt>
                <c:pt idx="66">
                  <c:v>-5.1118806560864432</c:v>
                </c:pt>
                <c:pt idx="67">
                  <c:v>-5.4345080877805483</c:v>
                </c:pt>
                <c:pt idx="68">
                  <c:v>-5.7772685028977744</c:v>
                </c:pt>
                <c:pt idx="69">
                  <c:v>-6.1413723197964574</c:v>
                </c:pt>
                <c:pt idx="70">
                  <c:v>-6.5280935204170296</c:v>
                </c:pt>
                <c:pt idx="71">
                  <c:v>-6.9387711120898761</c:v>
                </c:pt>
                <c:pt idx="72">
                  <c:v>-7.3748101992657853</c:v>
                </c:pt>
                <c:pt idx="73">
                  <c:v>-7.8376825557012646</c:v>
                </c:pt>
                <c:pt idx="74">
                  <c:v>-8.328926567926489</c:v>
                </c:pt>
                <c:pt idx="75">
                  <c:v>-8.8501463987178166</c:v>
                </c:pt>
                <c:pt idx="76">
                  <c:v>-9.4030101948304257</c:v>
                </c:pt>
                <c:pt idx="77">
                  <c:v>-9.9892471366351909</c:v>
                </c:pt>
                <c:pt idx="78">
                  <c:v>-10.610643098983232</c:v>
                </c:pt>
                <c:pt idx="79">
                  <c:v>-11.269034663341856</c:v>
                </c:pt>
                <c:pt idx="80">
                  <c:v>-11.966301192174916</c:v>
                </c:pt>
                <c:pt idx="81">
                  <c:v>-12.704354649371183</c:v>
                </c:pt>
                <c:pt idx="82">
                  <c:v>-13.485126827618162</c:v>
                </c:pt>
                <c:pt idx="83">
                  <c:v>-14.31055362812811</c:v>
                </c:pt>
                <c:pt idx="84">
                  <c:v>-15.182556034128195</c:v>
                </c:pt>
                <c:pt idx="85">
                  <c:v>-16.103017432110459</c:v>
                </c:pt>
                <c:pt idx="86">
                  <c:v>-17.073756970112356</c:v>
                </c:pt>
                <c:pt idx="87">
                  <c:v>-18.096498707275369</c:v>
                </c:pt>
                <c:pt idx="88">
                  <c:v>-19.172836411278396</c:v>
                </c:pt>
                <c:pt idx="89">
                  <c:v>-20.304194007652232</c:v>
                </c:pt>
                <c:pt idx="90">
                  <c:v>-21.491781884375829</c:v>
                </c:pt>
                <c:pt idx="91">
                  <c:v>-22.736549511359321</c:v>
                </c:pt>
                <c:pt idx="92">
                  <c:v>-24.039135148481066</c:v>
                </c:pt>
                <c:pt idx="93">
                  <c:v>-25.399813783077377</c:v>
                </c:pt>
                <c:pt idx="94">
                  <c:v>-26.818444845496145</c:v>
                </c:pt>
                <c:pt idx="95">
                  <c:v>-28.294421676926444</c:v>
                </c:pt>
                <c:pt idx="96">
                  <c:v>-29.826625133290531</c:v>
                </c:pt>
                <c:pt idx="97">
                  <c:v>-31.413384057444233</c:v>
                </c:pt>
                <c:pt idx="98">
                  <c:v>-33.052445585022724</c:v>
                </c:pt>
                <c:pt idx="99">
                  <c:v>-34.7409583083763</c:v>
                </c:pt>
                <c:pt idx="100">
                  <c:v>-36.475471152812609</c:v>
                </c:pt>
                <c:pt idx="101">
                  <c:v>-38.251950377724476</c:v>
                </c:pt>
                <c:pt idx="102">
                  <c:v>-40.065816384596523</c:v>
                </c:pt>
                <c:pt idx="103">
                  <c:v>-41.912001011369675</c:v>
                </c:pt>
                <c:pt idx="104">
                  <c:v>-43.785024776195428</c:v>
                </c:pt>
                <c:pt idx="105">
                  <c:v>-45.679092201921229</c:v>
                </c:pt>
                <c:pt idx="106">
                  <c:v>-47.588202036619421</c:v>
                </c:pt>
                <c:pt idx="107">
                  <c:v>-49.506268031635607</c:v>
                </c:pt>
                <c:pt idx="108">
                  <c:v>-51.427245086515512</c:v>
                </c:pt>
                <c:pt idx="109">
                  <c:v>-53.345255128539911</c:v>
                </c:pt>
                <c:pt idx="110">
                  <c:v>-55.254707121362856</c:v>
                </c:pt>
                <c:pt idx="111">
                  <c:v>-57.150406088628337</c:v>
                </c:pt>
                <c:pt idx="112">
                  <c:v>-59.027646929540012</c:v>
                </c:pt>
                <c:pt idx="113">
                  <c:v>-60.882289980502172</c:v>
                </c:pt>
                <c:pt idx="114">
                  <c:v>-62.71081659838336</c:v>
                </c:pt>
                <c:pt idx="115">
                  <c:v>-64.510364360747786</c:v>
                </c:pt>
                <c:pt idx="116">
                  <c:v>-66.278742668621433</c:v>
                </c:pt>
                <c:pt idx="117">
                  <c:v>-68.014430503688772</c:v>
                </c:pt>
                <c:pt idx="118">
                  <c:v>-69.716558781102663</c:v>
                </c:pt>
                <c:pt idx="119">
                  <c:v>-71.384880138633946</c:v>
                </c:pt>
                <c:pt idx="120">
                  <c:v>-73.019729133544104</c:v>
                </c:pt>
                <c:pt idx="121">
                  <c:v>-74.621975724320862</c:v>
                </c:pt>
                <c:pt idx="122">
                  <c:v>-76.192974651342183</c:v>
                </c:pt>
                <c:pt idx="123">
                  <c:v>-77.734512956831608</c:v>
                </c:pt>
                <c:pt idx="124">
                  <c:v>-79.248757453364703</c:v>
                </c:pt>
                <c:pt idx="125">
                  <c:v>-80.738203505363785</c:v>
                </c:pt>
                <c:pt idx="126">
                  <c:v>-82.205626061984844</c:v>
                </c:pt>
                <c:pt idx="127">
                  <c:v>-83.654033493963453</c:v>
                </c:pt>
                <c:pt idx="128">
                  <c:v>-85.086624453202305</c:v>
                </c:pt>
                <c:pt idx="129">
                  <c:v>-86.506747696565768</c:v>
                </c:pt>
                <c:pt idx="130">
                  <c:v>-87.917864593678047</c:v>
                </c:pt>
                <c:pt idx="131">
                  <c:v>-89.323513868627458</c:v>
                </c:pt>
                <c:pt idx="132">
                  <c:v>-90.727278002068587</c:v>
                </c:pt>
                <c:pt idx="133">
                  <c:v>-92.13275063804646</c:v>
                </c:pt>
                <c:pt idx="134">
                  <c:v>-93.543504294637813</c:v>
                </c:pt>
                <c:pt idx="135">
                  <c:v>-94.963057666522715</c:v>
                </c:pt>
                <c:pt idx="136">
                  <c:v>-96.394841830154732</c:v>
                </c:pt>
                <c:pt idx="137">
                  <c:v>-97.842164719581035</c:v>
                </c:pt>
                <c:pt idx="138">
                  <c:v>-99.308173336387696</c:v>
                </c:pt>
                <c:pt idx="139">
                  <c:v>-100.79581329537753</c:v>
                </c:pt>
                <c:pt idx="140">
                  <c:v>-102.30778549384644</c:v>
                </c:pt>
                <c:pt idx="141">
                  <c:v>-103.8464999317811</c:v>
                </c:pt>
                <c:pt idx="142">
                  <c:v>-105.41402700627295</c:v>
                </c:pt>
                <c:pt idx="143">
                  <c:v>-107.0120469555558</c:v>
                </c:pt>
                <c:pt idx="144">
                  <c:v>-108.64179853018028</c:v>
                </c:pt>
                <c:pt idx="145">
                  <c:v>-110.30402840669971</c:v>
                </c:pt>
                <c:pt idx="146">
                  <c:v>-111.99894330849914</c:v>
                </c:pt>
                <c:pt idx="147">
                  <c:v>-113.72616722341047</c:v>
                </c:pt>
                <c:pt idx="148">
                  <c:v>-115.48470646173212</c:v>
                </c:pt>
                <c:pt idx="149">
                  <c:v>-117.27292552572307</c:v>
                </c:pt>
                <c:pt idx="150">
                  <c:v>-119.0885368035092</c:v>
                </c:pt>
                <c:pt idx="151">
                  <c:v>-120.9286069018853</c:v>
                </c:pt>
                <c:pt idx="152">
                  <c:v>-122.78958195368794</c:v>
                </c:pt>
                <c:pt idx="153">
                  <c:v>-124.66733346199345</c:v>
                </c:pt>
                <c:pt idx="154">
                  <c:v>-126.55722519669965</c:v>
                </c:pt>
                <c:pt idx="155">
                  <c:v>-128.45420040155673</c:v>
                </c:pt>
                <c:pt idx="156">
                  <c:v>-130.35288720381038</c:v>
                </c:pt>
                <c:pt idx="157">
                  <c:v>-132.2477187770549</c:v>
                </c:pt>
                <c:pt idx="158">
                  <c:v>-134.13306363639586</c:v>
                </c:pt>
                <c:pt idx="159">
                  <c:v>-136.00336057954121</c:v>
                </c:pt>
                <c:pt idx="160">
                  <c:v>-137.85325233111394</c:v>
                </c:pt>
                <c:pt idx="161">
                  <c:v>-139.67771195215374</c:v>
                </c:pt>
                <c:pt idx="162">
                  <c:v>-141.4721565343975</c:v>
                </c:pt>
                <c:pt idx="163">
                  <c:v>-143.23254354455457</c:v>
                </c:pt>
                <c:pt idx="164">
                  <c:v>-144.95544630982005</c:v>
                </c:pt>
                <c:pt idx="165">
                  <c:v>-146.63810641359709</c:v>
                </c:pt>
                <c:pt idx="166">
                  <c:v>-148.27846207346778</c:v>
                </c:pt>
                <c:pt idx="167">
                  <c:v>-149.87515279751969</c:v>
                </c:pt>
                <c:pt idx="168">
                  <c:v>-151.42750168987786</c:v>
                </c:pt>
                <c:pt idx="169">
                  <c:v>-152.93547766753645</c:v>
                </c:pt>
                <c:pt idx="170">
                  <c:v>-154.39964055399398</c:v>
                </c:pt>
                <c:pt idx="171">
                  <c:v>-155.82107254388487</c:v>
                </c:pt>
                <c:pt idx="172">
                  <c:v>-157.2012999032568</c:v>
                </c:pt>
                <c:pt idx="173">
                  <c:v>-158.54220899062037</c:v>
                </c:pt>
                <c:pt idx="174">
                  <c:v>-159.84596074837697</c:v>
                </c:pt>
                <c:pt idx="175">
                  <c:v>-161.11490770391592</c:v>
                </c:pt>
                <c:pt idx="176">
                  <c:v>-162.35151721145994</c:v>
                </c:pt>
                <c:pt idx="177">
                  <c:v>-163.55830414491362</c:v>
                </c:pt>
                <c:pt idx="178">
                  <c:v>-164.73777552555103</c:v>
                </c:pt>
                <c:pt idx="179">
                  <c:v>-165.89238867387246</c:v>
                </c:pt>
                <c:pt idx="180">
                  <c:v>-167.02452348153383</c:v>
                </c:pt>
                <c:pt idx="181">
                  <c:v>-168.13646839977437</c:v>
                </c:pt>
                <c:pt idx="182">
                  <c:v>-169.23041883644541</c:v>
                </c:pt>
                <c:pt idx="183">
                  <c:v>-170.30848593533349</c:v>
                </c:pt>
                <c:pt idx="184">
                  <c:v>-171.37271324243162</c:v>
                </c:pt>
                <c:pt idx="185">
                  <c:v>-172.42509856972731</c:v>
                </c:pt>
                <c:pt idx="186">
                  <c:v>-173.46761843374048</c:v>
                </c:pt>
                <c:pt idx="187">
                  <c:v>-174.50225272605701</c:v>
                </c:pt>
                <c:pt idx="188">
                  <c:v>-175.53100769807162</c:v>
                </c:pt>
                <c:pt idx="189">
                  <c:v>-176.55593583709464</c:v>
                </c:pt>
                <c:pt idx="190">
                  <c:v>-177.57915170704652</c:v>
                </c:pt>
                <c:pt idx="191">
                  <c:v>-178.602843270471</c:v>
                </c:pt>
                <c:pt idx="192">
                  <c:v>-179.62927856504578</c:v>
                </c:pt>
                <c:pt idx="193">
                  <c:v>179.33919213819141</c:v>
                </c:pt>
                <c:pt idx="194">
                  <c:v>178.30013841551332</c:v>
                </c:pt>
                <c:pt idx="195">
                  <c:v>177.25105566853301</c:v>
                </c:pt>
                <c:pt idx="196">
                  <c:v>176.18937466760406</c:v>
                </c:pt>
                <c:pt idx="197">
                  <c:v>175.11247438909436</c:v>
                </c:pt>
                <c:pt idx="198">
                  <c:v>174.01769796621079</c:v>
                </c:pt>
                <c:pt idx="199">
                  <c:v>172.90237167674096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50112"/>
        <c:axId val="46652032"/>
      </c:scatterChart>
      <c:valAx>
        <c:axId val="4665011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52032"/>
        <c:crosses val="autoZero"/>
        <c:crossBetween val="midCat"/>
      </c:valAx>
      <c:valAx>
        <c:axId val="4665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650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</a:t>
            </a:r>
            <a:r>
              <a:rPr lang="en-US" baseline="0"/>
              <a:t> / Verr|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Compensation'!$AJ$1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Compensation'!$AJ$2:$AJ$200</c:f>
              <c:numCache>
                <c:formatCode>General</c:formatCode>
                <c:ptCount val="199"/>
                <c:pt idx="0">
                  <c:v>25.503254777823141</c:v>
                </c:pt>
                <c:pt idx="1">
                  <c:v>25.503253535962152</c:v>
                </c:pt>
                <c:pt idx="2">
                  <c:v>25.503252131541934</c:v>
                </c:pt>
                <c:pt idx="3">
                  <c:v>25.503250543283528</c:v>
                </c:pt>
                <c:pt idx="4">
                  <c:v>25.503248747122726</c:v>
                </c:pt>
                <c:pt idx="5">
                  <c:v>25.503246715845272</c:v>
                </c:pt>
                <c:pt idx="6">
                  <c:v>25.50324441867463</c:v>
                </c:pt>
                <c:pt idx="7">
                  <c:v>25.503241820805684</c:v>
                </c:pt>
                <c:pt idx="8">
                  <c:v>25.50323888287739</c:v>
                </c:pt>
                <c:pt idx="9">
                  <c:v>25.503235560376535</c:v>
                </c:pt>
                <c:pt idx="10">
                  <c:v>25.503231802963235</c:v>
                </c:pt>
                <c:pt idx="11">
                  <c:v>25.503227553708186</c:v>
                </c:pt>
                <c:pt idx="12">
                  <c:v>25.503222748230435</c:v>
                </c:pt>
                <c:pt idx="13">
                  <c:v>25.503217313721805</c:v>
                </c:pt>
                <c:pt idx="14">
                  <c:v>25.503211167843908</c:v>
                </c:pt>
                <c:pt idx="15">
                  <c:v>25.503204217480729</c:v>
                </c:pt>
                <c:pt idx="16">
                  <c:v>25.503196357328115</c:v>
                </c:pt>
                <c:pt idx="17">
                  <c:v>25.503187468298208</c:v>
                </c:pt>
                <c:pt idx="18">
                  <c:v>25.503177415715772</c:v>
                </c:pt>
                <c:pt idx="19">
                  <c:v>25.503166047277851</c:v>
                </c:pt>
                <c:pt idx="20">
                  <c:v>25.50315319074673</c:v>
                </c:pt>
                <c:pt idx="21">
                  <c:v>25.503138651340947</c:v>
                </c:pt>
                <c:pt idx="22">
                  <c:v>25.503122208785008</c:v>
                </c:pt>
                <c:pt idx="23">
                  <c:v>25.503103613972812</c:v>
                </c:pt>
                <c:pt idx="24">
                  <c:v>25.503082585194893</c:v>
                </c:pt>
                <c:pt idx="25">
                  <c:v>25.503058803871852</c:v>
                </c:pt>
                <c:pt idx="26">
                  <c:v>25.503031909729724</c:v>
                </c:pt>
                <c:pt idx="27">
                  <c:v>25.503001495344332</c:v>
                </c:pt>
                <c:pt idx="28">
                  <c:v>25.502967099971645</c:v>
                </c:pt>
                <c:pt idx="29">
                  <c:v>25.502928202572196</c:v>
                </c:pt>
                <c:pt idx="30">
                  <c:v>25.502884213922297</c:v>
                </c:pt>
                <c:pt idx="31">
                  <c:v>25.502834467694406</c:v>
                </c:pt>
                <c:pt idx="32">
                  <c:v>25.502778210371623</c:v>
                </c:pt>
                <c:pt idx="33">
                  <c:v>25.502714589843411</c:v>
                </c:pt>
                <c:pt idx="34">
                  <c:v>25.502642642511692</c:v>
                </c:pt>
                <c:pt idx="35">
                  <c:v>25.502561278711731</c:v>
                </c:pt>
                <c:pt idx="36">
                  <c:v>25.502469266229348</c:v>
                </c:pt>
                <c:pt idx="37">
                  <c:v>25.502365211665623</c:v>
                </c:pt>
                <c:pt idx="38">
                  <c:v>25.502247539368987</c:v>
                </c:pt>
                <c:pt idx="39">
                  <c:v>25.502114467618373</c:v>
                </c:pt>
                <c:pt idx="40">
                  <c:v>25.501963981699713</c:v>
                </c:pt>
                <c:pt idx="41">
                  <c:v>25.501793803472744</c:v>
                </c:pt>
                <c:pt idx="42">
                  <c:v>25.501601356971729</c:v>
                </c:pt>
                <c:pt idx="43">
                  <c:v>25.501383729527362</c:v>
                </c:pt>
                <c:pt idx="44">
                  <c:v>25.50113762782847</c:v>
                </c:pt>
                <c:pt idx="45">
                  <c:v>25.500859328270895</c:v>
                </c:pt>
                <c:pt idx="46">
                  <c:v>25.500544620855447</c:v>
                </c:pt>
                <c:pt idx="47">
                  <c:v>25.500188745804163</c:v>
                </c:pt>
                <c:pt idx="48">
                  <c:v>25.499786321959196</c:v>
                </c:pt>
                <c:pt idx="49">
                  <c:v>25.499331265910826</c:v>
                </c:pt>
                <c:pt idx="50">
                  <c:v>25.498816700668829</c:v>
                </c:pt>
                <c:pt idx="51">
                  <c:v>25.498234852544641</c:v>
                </c:pt>
                <c:pt idx="52">
                  <c:v>25.497576934747975</c:v>
                </c:pt>
                <c:pt idx="53">
                  <c:v>25.496833016015753</c:v>
                </c:pt>
                <c:pt idx="54">
                  <c:v>25.495991872390871</c:v>
                </c:pt>
                <c:pt idx="55">
                  <c:v>25.49504082003984</c:v>
                </c:pt>
                <c:pt idx="56">
                  <c:v>25.493965526749797</c:v>
                </c:pt>
                <c:pt idx="57">
                  <c:v>25.492749799469145</c:v>
                </c:pt>
                <c:pt idx="58">
                  <c:v>25.491375344955436</c:v>
                </c:pt>
                <c:pt idx="59">
                  <c:v>25.489821500261854</c:v>
                </c:pt>
                <c:pt idx="60">
                  <c:v>25.488064929437773</c:v>
                </c:pt>
                <c:pt idx="61">
                  <c:v>25.486079282429674</c:v>
                </c:pt>
                <c:pt idx="62">
                  <c:v>25.483834811756768</c:v>
                </c:pt>
                <c:pt idx="63">
                  <c:v>25.481297942097491</c:v>
                </c:pt>
                <c:pt idx="64">
                  <c:v>25.478430787465097</c:v>
                </c:pt>
                <c:pt idx="65">
                  <c:v>25.475190610181269</c:v>
                </c:pt>
                <c:pt idx="66">
                  <c:v>25.471529215385182</c:v>
                </c:pt>
                <c:pt idx="67">
                  <c:v>25.467392274356278</c:v>
                </c:pt>
                <c:pt idx="68">
                  <c:v>25.462718569504897</c:v>
                </c:pt>
                <c:pt idx="69">
                  <c:v>25.457439153519296</c:v>
                </c:pt>
                <c:pt idx="70">
                  <c:v>25.451476414890099</c:v>
                </c:pt>
                <c:pt idx="71">
                  <c:v>25.444743041908723</c:v>
                </c:pt>
                <c:pt idx="72">
                  <c:v>25.437140877313741</c:v>
                </c:pt>
                <c:pt idx="73">
                  <c:v>25.42855965611399</c:v>
                </c:pt>
                <c:pt idx="74">
                  <c:v>25.418875619844172</c:v>
                </c:pt>
                <c:pt idx="75">
                  <c:v>25.407950001718365</c:v>
                </c:pt>
                <c:pt idx="76">
                  <c:v>25.395627378981125</c:v>
                </c:pt>
                <c:pt idx="77">
                  <c:v>25.381733891374729</c:v>
                </c:pt>
                <c:pt idx="78">
                  <c:v>25.366075328234135</c:v>
                </c:pt>
                <c:pt idx="79">
                  <c:v>25.348435091507167</c:v>
                </c:pt>
                <c:pt idx="80">
                  <c:v>25.328572048202467</c:v>
                </c:pt>
                <c:pt idx="81">
                  <c:v>25.306218293646907</c:v>
                </c:pt>
                <c:pt idx="82">
                  <c:v>25.281076856722649</c:v>
                </c:pt>
                <c:pt idx="83">
                  <c:v>25.252819390166113</c:v>
                </c:pt>
                <c:pt idx="84">
                  <c:v>25.221083903195204</c:v>
                </c:pt>
                <c:pt idx="85">
                  <c:v>25.185472610220245</c:v>
                </c:pt>
                <c:pt idx="86">
                  <c:v>25.145549988044831</c:v>
                </c:pt>
                <c:pt idx="87">
                  <c:v>25.100841154376674</c:v>
                </c:pt>
                <c:pt idx="88">
                  <c:v>25.050830701892714</c:v>
                </c:pt>
                <c:pt idx="89">
                  <c:v>24.994962143346342</c:v>
                </c:pt>
                <c:pt idx="90">
                  <c:v>24.932638142535168</c:v>
                </c:pt>
                <c:pt idx="91">
                  <c:v>24.863221721029785</c:v>
                </c:pt>
                <c:pt idx="92">
                  <c:v>24.786038638464078</c:v>
                </c:pt>
                <c:pt idx="93">
                  <c:v>24.700381141437248</c:v>
                </c:pt>
                <c:pt idx="94">
                  <c:v>24.605513258914105</c:v>
                </c:pt>
                <c:pt idx="95">
                  <c:v>24.500677786731888</c:v>
                </c:pt>
                <c:pt idx="96">
                  <c:v>24.385105047391317</c:v>
                </c:pt>
                <c:pt idx="97">
                  <c:v>24.258023432049889</c:v>
                </c:pt>
                <c:pt idx="98">
                  <c:v>24.118671630105688</c:v>
                </c:pt>
                <c:pt idx="99">
                  <c:v>23.966312331532439</c:v>
                </c:pt>
                <c:pt idx="100">
                  <c:v>23.800247055374037</c:v>
                </c:pt>
                <c:pt idx="101">
                  <c:v>23.619831625418144</c:v>
                </c:pt>
                <c:pt idx="102">
                  <c:v>23.424491695055195</c:v>
                </c:pt>
                <c:pt idx="103">
                  <c:v>23.213737633465858</c:v>
                </c:pt>
                <c:pt idx="104">
                  <c:v>22.987178039901139</c:v>
                </c:pt>
                <c:pt idx="105">
                  <c:v>22.744531164178699</c:v>
                </c:pt>
                <c:pt idx="106">
                  <c:v>22.485633586099727</c:v>
                </c:pt>
                <c:pt idx="107">
                  <c:v>22.210445642952784</c:v>
                </c:pt>
                <c:pt idx="108">
                  <c:v>21.919053282669051</c:v>
                </c:pt>
                <c:pt idx="109">
                  <c:v>21.611666242750882</c:v>
                </c:pt>
                <c:pt idx="110">
                  <c:v>21.288612688686719</c:v>
                </c:pt>
                <c:pt idx="111">
                  <c:v>20.950330665271206</c:v>
                </c:pt>
                <c:pt idx="112">
                  <c:v>20.597356897398274</c:v>
                </c:pt>
                <c:pt idx="113">
                  <c:v>20.230313606553199</c:v>
                </c:pt>
                <c:pt idx="114">
                  <c:v>19.849894076437675</c:v>
                </c:pt>
                <c:pt idx="115">
                  <c:v>19.456847705593116</c:v>
                </c:pt>
                <c:pt idx="116">
                  <c:v>19.051965233806204</c:v>
                </c:pt>
                <c:pt idx="117">
                  <c:v>18.636064735250336</c:v>
                </c:pt>
                <c:pt idx="118">
                  <c:v>18.209978850237256</c:v>
                </c:pt>
                <c:pt idx="119">
                  <c:v>17.774543594764467</c:v>
                </c:pt>
                <c:pt idx="120">
                  <c:v>17.330588956416474</c:v>
                </c:pt>
                <c:pt idx="121">
                  <c:v>16.878931367038788</c:v>
                </c:pt>
                <c:pt idx="122">
                  <c:v>16.420368043624634</c:v>
                </c:pt>
                <c:pt idx="123">
                  <c:v>15.955673112163389</c:v>
                </c:pt>
                <c:pt idx="124">
                  <c:v>15.48559537495408</c:v>
                </c:pt>
                <c:pt idx="125">
                  <c:v>15.01085754812398</c:v>
                </c:pt>
                <c:pt idx="126">
                  <c:v>14.532156779527835</c:v>
                </c:pt>
                <c:pt idx="127">
                  <c:v>14.050166253972236</c:v>
                </c:pt>
                <c:pt idx="128">
                  <c:v>13.565537698889827</c:v>
                </c:pt>
                <c:pt idx="129">
                  <c:v>13.078904615580454</c:v>
                </c:pt>
                <c:pt idx="130">
                  <c:v>12.590886075852969</c:v>
                </c:pt>
                <c:pt idx="131">
                  <c:v>12.102090938839098</c:v>
                </c:pt>
                <c:pt idx="132">
                  <c:v>11.613122356005992</c:v>
                </c:pt>
                <c:pt idx="133">
                  <c:v>11.12458244258203</c:v>
                </c:pt>
                <c:pt idx="134">
                  <c:v>10.637076999821684</c:v>
                </c:pt>
                <c:pt idx="135">
                  <c:v>10.151220174268271</c:v>
                </c:pt>
                <c:pt idx="136">
                  <c:v>9.6676389372866804</c:v>
                </c:pt>
                <c:pt idx="137">
                  <c:v>9.1869772608568052</c:v>
                </c:pt>
                <c:pt idx="138">
                  <c:v>8.7098998545295743</c:v>
                </c:pt>
                <c:pt idx="139">
                  <c:v>8.2370953145700163</c:v>
                </c:pt>
                <c:pt idx="140">
                  <c:v>7.7692785211391993</c:v>
                </c:pt>
                <c:pt idx="141">
                  <c:v>7.3071921049426827</c:v>
                </c:pt>
                <c:pt idx="142">
                  <c:v>6.8516067937290428</c:v>
                </c:pt>
                <c:pt idx="143">
                  <c:v>6.4033204445734864</c:v>
                </c:pt>
                <c:pt idx="144">
                  <c:v>5.9631555736973105</c:v>
                </c:pt>
                <c:pt idx="145">
                  <c:v>5.5319552155831051</c:v>
                </c:pt>
                <c:pt idx="146">
                  <c:v>5.1105769810713397</c:v>
                </c:pt>
                <c:pt idx="147">
                  <c:v>4.6998852429479268</c:v>
                </c:pt>
                <c:pt idx="148">
                  <c:v>4.3007414586964829</c:v>
                </c:pt>
                <c:pt idx="149">
                  <c:v>3.9139927426943184</c:v>
                </c:pt>
                <c:pt idx="150">
                  <c:v>3.5404589201307211</c:v>
                </c:pt>
                <c:pt idx="151">
                  <c:v>3.1809184246323232</c:v>
                </c:pt>
                <c:pt idx="152">
                  <c:v>2.8360935296333052</c:v>
                </c:pt>
                <c:pt idx="153">
                  <c:v>2.5066355156096347</c:v>
                </c:pt>
                <c:pt idx="154">
                  <c:v>2.1931104556431267</c:v>
                </c:pt>
                <c:pt idx="155">
                  <c:v>1.895986335481596</c:v>
                </c:pt>
                <c:pt idx="156">
                  <c:v>1.6156221999710469</c:v>
                </c:pt>
                <c:pt idx="157">
                  <c:v>1.3522599303550167</c:v>
                </c:pt>
                <c:pt idx="158">
                  <c:v>1.1060191095036795</c:v>
                </c:pt>
                <c:pt idx="159">
                  <c:v>0.87689523648462497</c:v>
                </c:pt>
                <c:pt idx="160">
                  <c:v>0.66476132754875805</c:v>
                </c:pt>
                <c:pt idx="161">
                  <c:v>0.46937271218345977</c:v>
                </c:pt>
                <c:pt idx="162">
                  <c:v>0.29037462624990945</c:v>
                </c:pt>
                <c:pt idx="163">
                  <c:v>0.12731204243801941</c:v>
                </c:pt>
                <c:pt idx="164">
                  <c:v>-2.0358922006283777E-2</c:v>
                </c:pt>
                <c:pt idx="165">
                  <c:v>-0.15325871106115194</c:v>
                </c:pt>
                <c:pt idx="166">
                  <c:v>-0.2720718025296619</c:v>
                </c:pt>
                <c:pt idx="167">
                  <c:v>-0.37753450488736523</c:v>
                </c:pt>
                <c:pt idx="168">
                  <c:v>-0.47042349773544045</c:v>
                </c:pt>
                <c:pt idx="169">
                  <c:v>-0.55154537501643619</c:v>
                </c:pt>
                <c:pt idx="170">
                  <c:v>-0.62172728890919338</c:v>
                </c:pt>
                <c:pt idx="171">
                  <c:v>-0.68180864965609889</c:v>
                </c:pt>
                <c:pt idx="172">
                  <c:v>-0.73263372852058528</c:v>
                </c:pt>
                <c:pt idx="173">
                  <c:v>-0.775044948407419</c:v>
                </c:pt>
                <c:pt idx="174">
                  <c:v>-0.80987663379495201</c:v>
                </c:pt>
                <c:pt idx="175">
                  <c:v>-0.83794902601664578</c:v>
                </c:pt>
                <c:pt idx="176">
                  <c:v>-0.86006244242815666</c:v>
                </c:pt>
                <c:pt idx="177">
                  <c:v>-0.87699155401620121</c:v>
                </c:pt>
                <c:pt idx="178">
                  <c:v>-0.88947985769644855</c:v>
                </c:pt>
                <c:pt idx="179">
                  <c:v>-0.89823450873423827</c:v>
                </c:pt>
                <c:pt idx="180">
                  <c:v>-0.90392174004532311</c:v>
                </c:pt>
                <c:pt idx="181">
                  <c:v>-0.90716311877151523</c:v>
                </c:pt>
                <c:pt idx="182">
                  <c:v>-0.90853287379772651</c:v>
                </c:pt>
                <c:pt idx="183">
                  <c:v>-0.90855647531576822</c:v>
                </c:pt>
                <c:pt idx="184">
                  <c:v>-0.90771056948938733</c:v>
                </c:pt>
                <c:pt idx="185">
                  <c:v>-0.90642428133433162</c:v>
                </c:pt>
                <c:pt idx="186">
                  <c:v>-0.90508181105524954</c:v>
                </c:pt>
                <c:pt idx="187">
                  <c:v>-0.90402617499429394</c:v>
                </c:pt>
                <c:pt idx="188">
                  <c:v>-0.903563889789888</c:v>
                </c:pt>
                <c:pt idx="189">
                  <c:v>-0.90397037051146079</c:v>
                </c:pt>
                <c:pt idx="190">
                  <c:v>-0.90549580942873076</c:v>
                </c:pt>
                <c:pt idx="191">
                  <c:v>-0.90837131760962819</c:v>
                </c:pt>
                <c:pt idx="192">
                  <c:v>-0.91281514089391658</c:v>
                </c:pt>
                <c:pt idx="193">
                  <c:v>-0.91903879870107774</c:v>
                </c:pt>
                <c:pt idx="194">
                  <c:v>-0.9272530328879337</c:v>
                </c:pt>
                <c:pt idx="195">
                  <c:v>-0.9376734899157767</c:v>
                </c:pt>
                <c:pt idx="196">
                  <c:v>-0.95052608972763397</c:v>
                </c:pt>
                <c:pt idx="197">
                  <c:v>-0.96605205712258568</c:v>
                </c:pt>
                <c:pt idx="198">
                  <c:v>-0.98451260527487516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79488"/>
        <c:axId val="143275136"/>
      </c:scatterChart>
      <c:valAx>
        <c:axId val="4727948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275136"/>
        <c:crosses val="autoZero"/>
        <c:crossBetween val="midCat"/>
      </c:valAx>
      <c:valAx>
        <c:axId val="14327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279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</a:t>
            </a:r>
            <a:r>
              <a:rPr lang="en-US" baseline="0"/>
              <a:t> / Vout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Compensation'!$AQ$2:$AQ$201</c:f>
              <c:numCache>
                <c:formatCode>General</c:formatCode>
                <c:ptCount val="200"/>
                <c:pt idx="0">
                  <c:v>148.12840242661056</c:v>
                </c:pt>
                <c:pt idx="1">
                  <c:v>146.52883971037639</c:v>
                </c:pt>
                <c:pt idx="2">
                  <c:v>144.89055132404653</c:v>
                </c:pt>
                <c:pt idx="3">
                  <c:v>143.21810752905517</c:v>
                </c:pt>
                <c:pt idx="4">
                  <c:v>141.51663752341025</c:v>
                </c:pt>
                <c:pt idx="5">
                  <c:v>139.79176874358788</c:v>
                </c:pt>
                <c:pt idx="6">
                  <c:v>138.0495466202747</c:v>
                </c:pt>
                <c:pt idx="7">
                  <c:v>136.2963369815177</c:v>
                </c:pt>
                <c:pt idx="8">
                  <c:v>134.53871458672847</c:v>
                </c:pt>
                <c:pt idx="9">
                  <c:v>132.78334236737237</c:v>
                </c:pt>
                <c:pt idx="10">
                  <c:v>131.03684671076019</c:v>
                </c:pt>
                <c:pt idx="11">
                  <c:v>129.30569445403279</c:v>
                </c:pt>
                <c:pt idx="12">
                  <c:v>127.59607711247779</c:v>
                </c:pt>
                <c:pt idx="13">
                  <c:v>125.91380726872079</c:v>
                </c:pt>
                <c:pt idx="14">
                  <c:v>124.26423107512754</c:v>
                </c:pt>
                <c:pt idx="15">
                  <c:v>122.6521595934443</c:v>
                </c:pt>
                <c:pt idx="16">
                  <c:v>121.08182035812324</c:v>
                </c:pt>
                <c:pt idx="17">
                  <c:v>119.55682924625407</c:v>
                </c:pt>
                <c:pt idx="18">
                  <c:v>118.08018158843733</c:v>
                </c:pt>
                <c:pt idx="19">
                  <c:v>116.65426054586905</c:v>
                </c:pt>
                <c:pt idx="20">
                  <c:v>115.2808601523294</c:v>
                </c:pt>
                <c:pt idx="21">
                  <c:v>113.96122007927686</c:v>
                </c:pt>
                <c:pt idx="22">
                  <c:v>112.69606910025064</c:v>
                </c:pt>
                <c:pt idx="23">
                  <c:v>111.48567435915928</c:v>
                </c:pt>
                <c:pt idx="24">
                  <c:v>110.32989382823669</c:v>
                </c:pt>
                <c:pt idx="25">
                  <c:v>109.22822971768184</c:v>
                </c:pt>
                <c:pt idx="26">
                  <c:v>108.17988101893798</c:v>
                </c:pt>
                <c:pt idx="27">
                  <c:v>107.18379378599784</c:v>
                </c:pt>
                <c:pt idx="28">
                  <c:v>106.23870815429561</c:v>
                </c:pt>
                <c:pt idx="29">
                  <c:v>105.34320144582644</c:v>
                </c:pt>
                <c:pt idx="30">
                  <c:v>104.49572700255585</c:v>
                </c:pt>
                <c:pt idx="31">
                  <c:v>103.69464862556674</c:v>
                </c:pt>
                <c:pt idx="32">
                  <c:v>102.93827067737189</c:v>
                </c:pt>
                <c:pt idx="33">
                  <c:v>102.22486403513</c:v>
                </c:pt>
                <c:pt idx="34">
                  <c:v>101.55268817048992</c:v>
                </c:pt>
                <c:pt idx="35">
                  <c:v>100.92000968519632</c:v>
                </c:pt>
                <c:pt idx="36">
                  <c:v>100.32511765791945</c:v>
                </c:pt>
                <c:pt idx="37">
                  <c:v>99.766336163721604</c:v>
                </c:pt>
                <c:pt idx="38">
                  <c:v>99.242034318893417</c:v>
                </c:pt>
                <c:pt idx="39">
                  <c:v>98.750634185311455</c:v>
                </c:pt>
                <c:pt idx="40">
                  <c:v>98.29061684369681</c:v>
                </c:pt>
                <c:pt idx="41">
                  <c:v>97.860526917072889</c:v>
                </c:pt>
                <c:pt idx="42">
                  <c:v>97.458975796412631</c:v>
                </c:pt>
                <c:pt idx="43">
                  <c:v>97.084643791433123</c:v>
                </c:pt>
                <c:pt idx="44">
                  <c:v>96.736281401739134</c:v>
                </c:pt>
                <c:pt idx="45">
                  <c:v>96.412709877664923</c:v>
                </c:pt>
                <c:pt idx="46">
                  <c:v>96.112821216562025</c:v>
                </c:pt>
                <c:pt idx="47">
                  <c:v>95.835577719072944</c:v>
                </c:pt>
                <c:pt idx="48">
                  <c:v>95.580011211126319</c:v>
                </c:pt>
                <c:pt idx="49">
                  <c:v>95.345222020888016</c:v>
                </c:pt>
                <c:pt idx="50">
                  <c:v>95.130377785560583</c:v>
                </c:pt>
                <c:pt idx="51">
                  <c:v>94.934712150555171</c:v>
                </c:pt>
                <c:pt idx="52">
                  <c:v>94.757523412969434</c:v>
                </c:pt>
                <c:pt idx="53">
                  <c:v>94.598173152290315</c:v>
                </c:pt>
                <c:pt idx="54">
                  <c:v>94.456084883611979</c:v>
                </c:pt>
                <c:pt idx="55">
                  <c:v>94.330742762233768</c:v>
                </c:pt>
                <c:pt idx="56">
                  <c:v>94.221690363114007</c:v>
                </c:pt>
                <c:pt idx="57">
                  <c:v>94.128529554154255</c:v>
                </c:pt>
                <c:pt idx="58">
                  <c:v>94.050919478533771</c:v>
                </c:pt>
                <c:pt idx="59">
                  <c:v>93.988575658191621</c:v>
                </c:pt>
                <c:pt idx="60">
                  <c:v>93.94126922794878</c:v>
                </c:pt>
                <c:pt idx="61">
                  <c:v>93.908826307585798</c:v>
                </c:pt>
                <c:pt idx="62">
                  <c:v>93.891127517352231</c:v>
                </c:pt>
                <c:pt idx="63">
                  <c:v>93.888107640808272</c:v>
                </c:pt>
                <c:pt idx="64">
                  <c:v>93.89975543751622</c:v>
                </c:pt>
                <c:pt idx="65">
                  <c:v>93.926113606843927</c:v>
                </c:pt>
                <c:pt idx="66">
                  <c:v>93.967278902952927</c:v>
                </c:pt>
                <c:pt idx="67">
                  <c:v>94.02340239986313</c:v>
                </c:pt>
                <c:pt idx="68">
                  <c:v>94.094689904249748</c:v>
                </c:pt>
                <c:pt idx="69">
                  <c:v>94.181402512281636</c:v>
                </c:pt>
                <c:pt idx="70">
                  <c:v>94.283857305284471</c:v>
                </c:pt>
                <c:pt idx="71">
                  <c:v>94.402428177241205</c:v>
                </c:pt>
                <c:pt idx="72">
                  <c:v>94.537546785050623</c:v>
                </c:pt>
                <c:pt idx="73">
                  <c:v>94.689703609968532</c:v>
                </c:pt>
                <c:pt idx="74">
                  <c:v>94.859449115662343</c:v>
                </c:pt>
                <c:pt idx="75">
                  <c:v>95.04739498471416</c:v>
                </c:pt>
                <c:pt idx="76">
                  <c:v>95.25421541109263</c:v>
                </c:pt>
                <c:pt idx="77">
                  <c:v>95.480648420943325</c:v>
                </c:pt>
                <c:pt idx="78">
                  <c:v>95.727497187883728</c:v>
                </c:pt>
                <c:pt idx="79">
                  <c:v>95.995631301653532</c:v>
                </c:pt>
                <c:pt idx="80">
                  <c:v>96.285987940304068</c:v>
                </c:pt>
                <c:pt idx="81">
                  <c:v>96.599572885904408</c:v>
                </c:pt>
                <c:pt idx="82">
                  <c:v>96.937461311812825</c:v>
                </c:pt>
                <c:pt idx="83">
                  <c:v>97.3007982557004</c:v>
                </c:pt>
                <c:pt idx="84">
                  <c:v>97.690798676537739</c:v>
                </c:pt>
                <c:pt idx="85">
                  <c:v>98.108746975503635</c:v>
                </c:pt>
                <c:pt idx="86">
                  <c:v>98.555995840135978</c:v>
                </c:pt>
                <c:pt idx="87">
                  <c:v>99.033964247999009</c:v>
                </c:pt>
                <c:pt idx="88">
                  <c:v>99.544134440793414</c:v>
                </c:pt>
                <c:pt idx="89">
                  <c:v>100.08804765247478</c:v>
                </c:pt>
                <c:pt idx="90">
                  <c:v>100.66729834612906</c:v>
                </c:pt>
                <c:pt idx="91">
                  <c:v>101.28352668497907</c:v>
                </c:pt>
                <c:pt idx="92">
                  <c:v>101.93840893433264</c:v>
                </c:pt>
                <c:pt idx="93">
                  <c:v>102.63364546546813</c:v>
                </c:pt>
                <c:pt idx="94">
                  <c:v>103.37094601205119</c:v>
                </c:pt>
                <c:pt idx="95">
                  <c:v>104.15201181820674</c:v>
                </c:pt>
                <c:pt idx="96">
                  <c:v>104.97851431928999</c:v>
                </c:pt>
                <c:pt idx="97">
                  <c:v>105.85207001722391</c:v>
                </c:pt>
                <c:pt idx="98">
                  <c:v>106.77421125848713</c:v>
                </c:pt>
                <c:pt idx="99">
                  <c:v>107.74635270176594</c:v>
                </c:pt>
                <c:pt idx="100">
                  <c:v>108.76975338169163</c:v>
                </c:pt>
                <c:pt idx="101">
                  <c:v>109.84547444247994</c:v>
                </c:pt>
                <c:pt idx="102">
                  <c:v>110.97433283693613</c:v>
                </c:pt>
                <c:pt idx="103">
                  <c:v>112.15685156571033</c:v>
                </c:pt>
                <c:pt idx="104">
                  <c:v>113.39320736791595</c:v>
                </c:pt>
                <c:pt idx="105">
                  <c:v>114.68317715961241</c:v>
                </c:pt>
                <c:pt idx="106">
                  <c:v>116.02608493477024</c:v>
                </c:pt>
                <c:pt idx="107">
                  <c:v>117.42075126716274</c:v>
                </c:pt>
                <c:pt idx="108">
                  <c:v>118.86544794267436</c:v>
                </c:pt>
                <c:pt idx="109">
                  <c:v>120.35786056062561</c:v>
                </c:pt>
                <c:pt idx="110">
                  <c:v>121.89506211318715</c:v>
                </c:pt>
                <c:pt idx="111">
                  <c:v>123.4735005253842</c:v>
                </c:pt>
                <c:pt idx="112">
                  <c:v>125.08900286329254</c:v>
                </c:pt>
                <c:pt idx="113">
                  <c:v>126.73679836115241</c:v>
                </c:pt>
                <c:pt idx="114">
                  <c:v>128.41156157457965</c:v>
                </c:pt>
                <c:pt idx="115">
                  <c:v>130.10747586980335</c:v>
                </c:pt>
                <c:pt idx="116">
                  <c:v>131.81831618266531</c:v>
                </c:pt>
                <c:pt idx="117">
                  <c:v>133.53754863912485</c:v>
                </c:pt>
                <c:pt idx="118">
                  <c:v>135.25844336078379</c:v>
                </c:pt>
                <c:pt idx="119">
                  <c:v>136.97419573116147</c:v>
                </c:pt>
                <c:pt idx="120">
                  <c:v>138.67805070110742</c:v>
                </c:pt>
                <c:pt idx="121">
                  <c:v>140.36342445530391</c:v>
                </c:pt>
                <c:pt idx="122">
                  <c:v>142.02401798021862</c:v>
                </c:pt>
                <c:pt idx="123">
                  <c:v>143.65391773816526</c:v>
                </c:pt>
                <c:pt idx="124">
                  <c:v>145.24767967595483</c:v>
                </c:pt>
                <c:pt idx="125">
                  <c:v>146.80039405230286</c:v>
                </c:pt>
                <c:pt idx="126">
                  <c:v>148.30772990952283</c:v>
                </c:pt>
                <c:pt idx="127">
                  <c:v>149.76595930109926</c:v>
                </c:pt>
                <c:pt idx="128">
                  <c:v>151.17196250169212</c:v>
                </c:pt>
                <c:pt idx="129">
                  <c:v>152.52321629189166</c:v>
                </c:pt>
                <c:pt idx="130">
                  <c:v>153.81776799031141</c:v>
                </c:pt>
                <c:pt idx="131">
                  <c:v>155.05419820237103</c:v>
                </c:pt>
                <c:pt idx="132">
                  <c:v>156.23157530004798</c:v>
                </c:pt>
                <c:pt idx="133">
                  <c:v>157.34940449030216</c:v>
                </c:pt>
                <c:pt idx="134">
                  <c:v>158.40757402995885</c:v>
                </c:pt>
                <c:pt idx="135">
                  <c:v>159.40630075869933</c:v>
                </c:pt>
                <c:pt idx="136">
                  <c:v>160.34607669941377</c:v>
                </c:pt>
                <c:pt idx="137">
                  <c:v>161.22761805588991</c:v>
                </c:pt>
                <c:pt idx="138">
                  <c:v>162.05181754964585</c:v>
                </c:pt>
                <c:pt idx="139">
                  <c:v>162.81970069790748</c:v>
                </c:pt>
                <c:pt idx="140">
                  <c:v>163.532386351573</c:v>
                </c:pt>
                <c:pt idx="141">
                  <c:v>164.19105158700606</c:v>
                </c:pt>
                <c:pt idx="142">
                  <c:v>164.79690087542158</c:v>
                </c:pt>
                <c:pt idx="143">
                  <c:v>165.3511393324701</c:v>
                </c:pt>
                <c:pt idx="144">
                  <c:v>165.85494977097372</c:v>
                </c:pt>
                <c:pt idx="145">
                  <c:v>166.30947323393431</c:v>
                </c:pt>
                <c:pt idx="146">
                  <c:v>166.71579266563671</c:v>
                </c:pt>
                <c:pt idx="147">
                  <c:v>167.07491937943394</c:v>
                </c:pt>
                <c:pt idx="148">
                  <c:v>167.38778199616803</c:v>
                </c:pt>
                <c:pt idx="149">
                  <c:v>167.65521755271897</c:v>
                </c:pt>
                <c:pt idx="150">
                  <c:v>167.8779645124585</c:v>
                </c:pt>
                <c:pt idx="151">
                  <c:v>168.05665744584815</c:v>
                </c:pt>
                <c:pt idx="152">
                  <c:v>168.19182318824437</c:v>
                </c:pt>
                <c:pt idx="153">
                  <c:v>168.28387832195108</c:v>
                </c:pt>
                <c:pt idx="154">
                  <c:v>168.33312786993812</c:v>
                </c:pt>
                <c:pt idx="155">
                  <c:v>168.33976512905835</c:v>
                </c:pt>
                <c:pt idx="156">
                  <c:v>168.30387261089288</c:v>
                </c:pt>
                <c:pt idx="157">
                  <c:v>168.22542409857445</c:v>
                </c:pt>
                <c:pt idx="158">
                  <c:v>168.10428786815871</c:v>
                </c:pt>
                <c:pt idx="159">
                  <c:v>167.9402311634274</c:v>
                </c:pt>
                <c:pt idx="160">
                  <c:v>167.73292605338384</c:v>
                </c:pt>
                <c:pt idx="161">
                  <c:v>167.48195684195886</c:v>
                </c:pt>
                <c:pt idx="162">
                  <c:v>167.18682923908293</c:v>
                </c:pt>
                <c:pt idx="163">
                  <c:v>166.84698154044193</c:v>
                </c:pt>
                <c:pt idx="164">
                  <c:v>166.46179809853032</c:v>
                </c:pt>
                <c:pt idx="165">
                  <c:v>166.03062539800766</c:v>
                </c:pt>
                <c:pt idx="166">
                  <c:v>165.55279107104846</c:v>
                </c:pt>
                <c:pt idx="167">
                  <c:v>165.02762619961251</c:v>
                </c:pt>
                <c:pt idx="168">
                  <c:v>164.45449124661073</c:v>
                </c:pt>
                <c:pt idx="169">
                  <c:v>163.83280593101128</c:v>
                </c:pt>
                <c:pt idx="170">
                  <c:v>163.16208330626313</c:v>
                </c:pt>
                <c:pt idx="171">
                  <c:v>162.44196820950518</c:v>
                </c:pt>
                <c:pt idx="172">
                  <c:v>161.67228011317346</c:v>
                </c:pt>
                <c:pt idx="173">
                  <c:v>160.85306022361843</c:v>
                </c:pt>
                <c:pt idx="174">
                  <c:v>159.98462242780946</c:v>
                </c:pt>
                <c:pt idx="175">
                  <c:v>159.06760738700359</c:v>
                </c:pt>
                <c:pt idx="176">
                  <c:v>158.10303871861035</c:v>
                </c:pt>
                <c:pt idx="177">
                  <c:v>157.09237980499859</c:v>
                </c:pt>
                <c:pt idx="178">
                  <c:v>156.03758934083422</c:v>
                </c:pt>
                <c:pt idx="179">
                  <c:v>154.94117330990898</c:v>
                </c:pt>
                <c:pt idx="180">
                  <c:v>153.80623071088039</c:v>
                </c:pt>
                <c:pt idx="181">
                  <c:v>152.63649008127067</c:v>
                </c:pt>
                <c:pt idx="182">
                  <c:v>151.43633375850212</c:v>
                </c:pt>
                <c:pt idx="183">
                  <c:v>150.21080692240943</c:v>
                </c:pt>
                <c:pt idx="184">
                  <c:v>148.96560883140472</c:v>
                </c:pt>
                <c:pt idx="185">
                  <c:v>147.7070643181261</c:v>
                </c:pt>
                <c:pt idx="186">
                  <c:v>146.44207454125214</c:v>
                </c:pt>
                <c:pt idx="187">
                  <c:v>145.17804714953061</c:v>
                </c:pt>
                <c:pt idx="188">
                  <c:v>143.92280731179895</c:v>
                </c:pt>
                <c:pt idx="189">
                  <c:v>142.68449237792316</c:v>
                </c:pt>
                <c:pt idx="190">
                  <c:v>141.47143411524902</c:v>
                </c:pt>
                <c:pt idx="191">
                  <c:v>140.29203337017256</c:v>
                </c:pt>
                <c:pt idx="192">
                  <c:v>139.15463251734079</c:v>
                </c:pt>
                <c:pt idx="193">
                  <c:v>138.06739110953424</c:v>
                </c:pt>
                <c:pt idx="194">
                  <c:v>137.03816971972859</c:v>
                </c:pt>
                <c:pt idx="195">
                  <c:v>136.0744261262241</c:v>
                </c:pt>
                <c:pt idx="196">
                  <c:v>135.18312683806295</c:v>
                </c:pt>
                <c:pt idx="197">
                  <c:v>134.37067563118137</c:v>
                </c:pt>
                <c:pt idx="198">
                  <c:v>133.64285941617811</c:v>
                </c:pt>
                <c:pt idx="199">
                  <c:v>133.00481052405561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11776"/>
        <c:axId val="143643008"/>
      </c:scatterChart>
      <c:valAx>
        <c:axId val="14361177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643008"/>
        <c:crosses val="autoZero"/>
        <c:crossBetween val="midCat"/>
      </c:valAx>
      <c:valAx>
        <c:axId val="14364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11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</a:t>
            </a:r>
            <a:r>
              <a:rPr lang="en-US" baseline="0"/>
              <a:t> / Vout|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Compensation'!$AR$1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Compensation'!$AR$2:$AR$200</c:f>
              <c:numCache>
                <c:formatCode>General</c:formatCode>
                <c:ptCount val="199"/>
                <c:pt idx="0">
                  <c:v>54.636164971149668</c:v>
                </c:pt>
                <c:pt idx="1">
                  <c:v>54.480139182392492</c:v>
                </c:pt>
                <c:pt idx="2">
                  <c:v>54.310190626522505</c:v>
                </c:pt>
                <c:pt idx="3">
                  <c:v>54.125683186712337</c:v>
                </c:pt>
                <c:pt idx="4">
                  <c:v>53.926053287257162</c:v>
                </c:pt>
                <c:pt idx="5">
                  <c:v>53.710824392930334</c:v>
                </c:pt>
                <c:pt idx="6">
                  <c:v>53.479619943349292</c:v>
                </c:pt>
                <c:pt idx="7">
                  <c:v>53.232174010552207</c:v>
                </c:pt>
                <c:pt idx="8">
                  <c:v>52.968339057665304</c:v>
                </c:pt>
                <c:pt idx="9">
                  <c:v>52.688090326471126</c:v>
                </c:pt>
                <c:pt idx="10">
                  <c:v>52.391526579891725</c:v>
                </c:pt>
                <c:pt idx="11">
                  <c:v>52.078867152542827</c:v>
                </c:pt>
                <c:pt idx="12">
                  <c:v>51.750445494672093</c:v>
                </c:pt>
                <c:pt idx="13">
                  <c:v>51.406699607229065</c:v>
                </c:pt>
                <c:pt idx="14">
                  <c:v>51.048159936953688</c:v>
                </c:pt>
                <c:pt idx="15">
                  <c:v>50.675435415051481</c:v>
                </c:pt>
                <c:pt idx="16">
                  <c:v>50.289198374381279</c:v>
                </c:pt>
                <c:pt idx="17">
                  <c:v>49.890169069755565</c:v>
                </c:pt>
                <c:pt idx="18">
                  <c:v>49.479100462784729</c:v>
                </c:pt>
                <c:pt idx="19">
                  <c:v>49.056763830351755</c:v>
                </c:pt>
                <c:pt idx="20">
                  <c:v>48.623935630083807</c:v>
                </c:pt>
                <c:pt idx="21">
                  <c:v>48.181385922419693</c:v>
                </c:pt>
                <c:pt idx="22">
                  <c:v>47.729868520083478</c:v>
                </c:pt>
                <c:pt idx="23">
                  <c:v>47.270112921529389</c:v>
                </c:pt>
                <c:pt idx="24">
                  <c:v>46.802817991062881</c:v>
                </c:pt>
                <c:pt idx="25">
                  <c:v>46.328647277274804</c:v>
                </c:pt>
                <c:pt idx="26">
                  <c:v>45.848225812800116</c:v>
                </c:pt>
                <c:pt idx="27">
                  <c:v>45.36213820997952</c:v>
                </c:pt>
                <c:pt idx="28">
                  <c:v>44.870927855397355</c:v>
                </c:pt>
                <c:pt idx="29">
                  <c:v>44.375097007721614</c:v>
                </c:pt>
                <c:pt idx="30">
                  <c:v>43.875107614081905</c:v>
                </c:pt>
                <c:pt idx="31">
                  <c:v>43.37138267710101</c:v>
                </c:pt>
                <c:pt idx="32">
                  <c:v>42.864308024915417</c:v>
                </c:pt>
                <c:pt idx="33">
                  <c:v>42.354234357972793</c:v>
                </c:pt>
                <c:pt idx="34">
                  <c:v>41.841479467542086</c:v>
                </c:pt>
                <c:pt idx="35">
                  <c:v>41.32633054070088</c:v>
                </c:pt>
                <c:pt idx="36">
                  <c:v>40.809046484451834</c:v>
                </c:pt>
                <c:pt idx="37">
                  <c:v>40.289860217275297</c:v>
                </c:pt>
                <c:pt idx="38">
                  <c:v>39.768980889771818</c:v>
                </c:pt>
                <c:pt idx="39">
                  <c:v>39.246596007170346</c:v>
                </c:pt>
                <c:pt idx="40">
                  <c:v>38.722873435549324</c:v>
                </c:pt>
                <c:pt idx="41">
                  <c:v>38.197963280867867</c:v>
                </c:pt>
                <c:pt idx="42">
                  <c:v>37.671999635571879</c:v>
                </c:pt>
                <c:pt idx="43">
                  <c:v>37.145102191878038</c:v>
                </c:pt>
                <c:pt idx="44">
                  <c:v>36.617377724064887</c:v>
                </c:pt>
                <c:pt idx="45">
                  <c:v>36.088921444428721</c:v>
                </c:pt>
                <c:pt idx="46">
                  <c:v>35.559818239167782</c:v>
                </c:pt>
                <c:pt idx="47">
                  <c:v>35.030143791499356</c:v>
                </c:pt>
                <c:pt idx="48">
                  <c:v>34.499965599915171</c:v>
                </c:pt>
                <c:pt idx="49">
                  <c:v>33.969343899752104</c:v>
                </c:pt>
                <c:pt idx="50">
                  <c:v>33.438332496283572</c:v>
                </c:pt>
                <c:pt idx="51">
                  <c:v>32.906979517386581</c:v>
                </c:pt>
                <c:pt idx="52">
                  <c:v>32.375328093574723</c:v>
                </c:pt>
                <c:pt idx="53">
                  <c:v>31.843416972840895</c:v>
                </c:pt>
                <c:pt idx="54">
                  <c:v>31.311281077367568</c:v>
                </c:pt>
                <c:pt idx="55">
                  <c:v>30.77895200875512</c:v>
                </c:pt>
                <c:pt idx="56">
                  <c:v>30.246458508013468</c:v>
                </c:pt>
                <c:pt idx="57">
                  <c:v>29.713826876174231</c:v>
                </c:pt>
                <c:pt idx="58">
                  <c:v>29.181081361012744</c:v>
                </c:pt>
                <c:pt idx="59">
                  <c:v>28.648244515037927</c:v>
                </c:pt>
                <c:pt idx="60">
                  <c:v>28.115337529613264</c:v>
                </c:pt>
                <c:pt idx="61">
                  <c:v>27.582380549816744</c:v>
                </c:pt>
                <c:pt idx="62">
                  <c:v>27.049392974437069</c:v>
                </c:pt>
                <c:pt idx="63">
                  <c:v>26.516393745337862</c:v>
                </c:pt>
                <c:pt idx="64">
                  <c:v>25.983401630298353</c:v>
                </c:pt>
                <c:pt idx="65">
                  <c:v>25.450435503367096</c:v>
                </c:pt>
                <c:pt idx="66">
                  <c:v>24.917514626734047</c:v>
                </c:pt>
                <c:pt idx="67">
                  <c:v>24.38465893814444</c:v>
                </c:pt>
                <c:pt idx="68">
                  <c:v>23.851889347943505</c:v>
                </c:pt>
                <c:pt idx="69">
                  <c:v>23.319228049947345</c:v>
                </c:pt>
                <c:pt idx="70">
                  <c:v>22.78669885049505</c:v>
                </c:pt>
                <c:pt idx="71">
                  <c:v>22.254327520233666</c:v>
                </c:pt>
                <c:pt idx="72">
                  <c:v>21.722142173433568</c:v>
                </c:pt>
                <c:pt idx="73">
                  <c:v>21.190173679918146</c:v>
                </c:pt>
                <c:pt idx="74">
                  <c:v>20.658456115012378</c:v>
                </c:pt>
                <c:pt idx="75">
                  <c:v>20.127027253276928</c:v>
                </c:pt>
                <c:pt idx="76">
                  <c:v>19.595929112174865</c:v>
                </c:pt>
                <c:pt idx="77">
                  <c:v>19.065208552225421</c:v>
                </c:pt>
                <c:pt idx="78">
                  <c:v>18.534917940600646</c:v>
                </c:pt>
                <c:pt idx="79">
                  <c:v>18.005115885520823</c:v>
                </c:pt>
                <c:pt idx="80">
                  <c:v>17.47586804915656</c:v>
                </c:pt>
                <c:pt idx="81">
                  <c:v>16.94724804703856</c:v>
                </c:pt>
                <c:pt idx="82">
                  <c:v>16.419338442153567</c:v>
                </c:pt>
                <c:pt idx="83">
                  <c:v>15.892231841929231</c:v>
                </c:pt>
                <c:pt idx="84">
                  <c:v>15.36603210610118</c:v>
                </c:pt>
                <c:pt idx="85">
                  <c:v>14.840855672944137</c:v>
                </c:pt>
                <c:pt idx="86">
                  <c:v>14.316833010423409</c:v>
                </c:pt>
                <c:pt idx="87">
                  <c:v>13.794110197366189</c:v>
                </c:pt>
                <c:pt idx="88">
                  <c:v>13.272850637613001</c:v>
                </c:pt>
                <c:pt idx="89">
                  <c:v>12.753236907113388</c:v>
                </c:pt>
                <c:pt idx="90">
                  <c:v>12.235472729881948</c:v>
                </c:pt>
                <c:pt idx="91">
                  <c:v>11.719785073403619</c:v>
                </c:pt>
                <c:pt idx="92">
                  <c:v>11.206426347225669</c:v>
                </c:pt>
                <c:pt idx="93">
                  <c:v>10.695676679865118</c:v>
                </c:pt>
                <c:pt idx="94">
                  <c:v>10.187846238547406</c:v>
                </c:pt>
                <c:pt idx="95">
                  <c:v>9.6832775434898331</c:v>
                </c:pt>
                <c:pt idx="96">
                  <c:v>9.1823477133431517</c:v>
                </c:pt>
                <c:pt idx="97">
                  <c:v>8.6854705610347924</c:v>
                </c:pt>
                <c:pt idx="98">
                  <c:v>8.1930984398511377</c:v>
                </c:pt>
                <c:pt idx="99">
                  <c:v>7.7057237186854266</c:v>
                </c:pt>
                <c:pt idx="100">
                  <c:v>7.2238797438797668</c:v>
                </c:pt>
                <c:pt idx="101">
                  <c:v>6.7481411243989413</c:v>
                </c:pt>
                <c:pt idx="102">
                  <c:v>6.2791231591630918</c:v>
                </c:pt>
                <c:pt idx="103">
                  <c:v>5.8174802128122707</c:v>
                </c:pt>
                <c:pt idx="104">
                  <c:v>5.3639028421442685</c:v>
                </c:pt>
                <c:pt idx="105">
                  <c:v>4.9191134835791726</c:v>
                </c:pt>
                <c:pt idx="106">
                  <c:v>4.483860536055059</c:v>
                </c:pt>
                <c:pt idx="107">
                  <c:v>4.0589107172637515</c:v>
                </c:pt>
                <c:pt idx="108">
                  <c:v>3.6450396366837081</c:v>
                </c:pt>
                <c:pt idx="109">
                  <c:v>3.2430206173443277</c:v>
                </c:pt>
                <c:pt idx="110">
                  <c:v>2.8536119079849582</c:v>
                </c:pt>
                <c:pt idx="111">
                  <c:v>2.4775425532925013</c:v>
                </c:pt>
                <c:pt idx="112">
                  <c:v>2.1154973235247088</c:v>
                </c:pt>
                <c:pt idx="113">
                  <c:v>1.768101233816308</c:v>
                </c:pt>
                <c:pt idx="114">
                  <c:v>1.4359042928736572</c:v>
                </c:pt>
                <c:pt idx="115">
                  <c:v>1.1193671947122805</c:v>
                </c:pt>
                <c:pt idx="116">
                  <c:v>0.8188486911395374</c:v>
                </c:pt>
                <c:pt idx="117">
                  <c:v>0.53459534658884889</c:v>
                </c:pt>
                <c:pt idx="118">
                  <c:v>0.26673427713598574</c:v>
                </c:pt>
                <c:pt idx="119">
                  <c:v>1.5269316849427953E-2</c:v>
                </c:pt>
                <c:pt idx="120">
                  <c:v>-0.21991914968292992</c:v>
                </c:pt>
                <c:pt idx="121">
                  <c:v>-0.43907067945571665</c:v>
                </c:pt>
                <c:pt idx="122">
                  <c:v>-0.642537809246715</c:v>
                </c:pt>
                <c:pt idx="123">
                  <c:v>-0.83077606858207997</c:v>
                </c:pt>
                <c:pt idx="124">
                  <c:v>-1.0043315591130855</c:v>
                </c:pt>
                <c:pt idx="125">
                  <c:v>-1.1638267969078204</c:v>
                </c:pt>
                <c:pt idx="126">
                  <c:v>-1.3099455554027661</c:v>
                </c:pt>
                <c:pt idx="127">
                  <c:v>-1.4434174273107505</c:v>
                </c:pt>
                <c:pt idx="128">
                  <c:v>-1.5650027534201123</c:v>
                </c:pt>
                <c:pt idx="129">
                  <c:v>-1.6754784591491951</c:v>
                </c:pt>
                <c:pt idx="130">
                  <c:v>-1.7756252118109832</c:v>
                </c:pt>
                <c:pt idx="131">
                  <c:v>-1.8662161778831412</c:v>
                </c:pt>
                <c:pt idx="132">
                  <c:v>-1.9480075326745609</c:v>
                </c:pt>
                <c:pt idx="133">
                  <c:v>-2.0217307636172679</c:v>
                </c:pt>
                <c:pt idx="134">
                  <c:v>-2.0880867182529363</c:v>
                </c:pt>
                <c:pt idx="135">
                  <c:v>-2.1477412807355338</c:v>
                </c:pt>
                <c:pt idx="136">
                  <c:v>-2.2013225156331155</c:v>
                </c:pt>
                <c:pt idx="137">
                  <c:v>-2.2494190925021864</c:v>
                </c:pt>
                <c:pt idx="138">
                  <c:v>-2.292579795658324</c:v>
                </c:pt>
                <c:pt idx="139">
                  <c:v>-2.3313139269879031</c:v>
                </c:pt>
                <c:pt idx="140">
                  <c:v>-2.3660924218963286</c:v>
                </c:pt>
                <c:pt idx="141">
                  <c:v>-2.3973495163500194</c:v>
                </c:pt>
                <c:pt idx="142">
                  <c:v>-2.4254848238278122</c:v>
                </c:pt>
                <c:pt idx="143">
                  <c:v>-2.4508657028241791</c:v>
                </c:pt>
                <c:pt idx="144">
                  <c:v>-2.4738298169113477</c:v>
                </c:pt>
                <c:pt idx="145">
                  <c:v>-2.4946878093044385</c:v>
                </c:pt>
                <c:pt idx="146">
                  <c:v>-2.5137260318338077</c:v>
                </c:pt>
                <c:pt idx="147">
                  <c:v>-2.5312092839469518</c:v>
                </c:pt>
                <c:pt idx="148">
                  <c:v>-2.547383530788208</c:v>
                </c:pt>
                <c:pt idx="149">
                  <c:v>-2.5624785806304864</c:v>
                </c:pt>
                <c:pt idx="150">
                  <c:v>-2.5767107111309038</c:v>
                </c:pt>
                <c:pt idx="151">
                  <c:v>-2.5902852412598603</c:v>
                </c:pt>
                <c:pt idx="152">
                  <c:v>-2.6033990515382586</c:v>
                </c:pt>
                <c:pt idx="153">
                  <c:v>-2.6162430596069832</c:v>
                </c:pt>
                <c:pt idx="154">
                  <c:v>-2.6290046613372473</c:v>
                </c:pt>
                <c:pt idx="155">
                  <c:v>-2.6418701498086161</c:v>
                </c:pt>
                <c:pt idx="156">
                  <c:v>-2.6550271256371309</c:v>
                </c:pt>
                <c:pt idx="157">
                  <c:v>-2.6686669123930673</c:v>
                </c:pt>
                <c:pt idx="158">
                  <c:v>-2.6829869902188364</c:v>
                </c:pt>
                <c:pt idx="159">
                  <c:v>-2.6981934592133934</c:v>
                </c:pt>
                <c:pt idx="160">
                  <c:v>-2.7145035416137042</c:v>
                </c:pt>
                <c:pt idx="161">
                  <c:v>-2.7321481281622879</c:v>
                </c:pt>
                <c:pt idx="162">
                  <c:v>-2.7513743691390014</c:v>
                </c:pt>
                <c:pt idx="163">
                  <c:v>-2.7724483041743153</c:v>
                </c:pt>
                <c:pt idx="164">
                  <c:v>-2.7956575169207061</c:v>
                </c:pt>
                <c:pt idx="165">
                  <c:v>-2.8213137907308328</c:v>
                </c:pt>
                <c:pt idx="166">
                  <c:v>-2.8497557294666449</c:v>
                </c:pt>
                <c:pt idx="167">
                  <c:v>-2.8813512932763974</c:v>
                </c:pt>
                <c:pt idx="168">
                  <c:v>-2.9165001825899362</c:v>
                </c:pt>
                <c:pt idx="169">
                  <c:v>-2.9556359847775648</c:v>
                </c:pt>
                <c:pt idx="170">
                  <c:v>-2.9992279772427639</c:v>
                </c:pt>
                <c:pt idx="171">
                  <c:v>-3.0477824588379034</c:v>
                </c:pt>
                <c:pt idx="172">
                  <c:v>-3.1018434594783342</c:v>
                </c:pt>
                <c:pt idx="173">
                  <c:v>-3.1619926573007051</c:v>
                </c:pt>
                <c:pt idx="174">
                  <c:v>-3.2288483158499819</c:v>
                </c:pt>
                <c:pt idx="175">
                  <c:v>-3.3030630433920631</c:v>
                </c:pt>
                <c:pt idx="176">
                  <c:v>-3.3853201758940958</c:v>
                </c:pt>
                <c:pt idx="177">
                  <c:v>-3.4763285982226106</c:v>
                </c:pt>
                <c:pt idx="178">
                  <c:v>-3.5768158484279073</c:v>
                </c:pt>
                <c:pt idx="179">
                  <c:v>-3.687519400880551</c:v>
                </c:pt>
                <c:pt idx="180">
                  <c:v>-3.8091760975451483</c:v>
                </c:pt>
                <c:pt idx="181">
                  <c:v>-3.9425097928638806</c:v>
                </c:pt>
                <c:pt idx="182">
                  <c:v>-4.0882173937513739</c:v>
                </c:pt>
                <c:pt idx="183">
                  <c:v>-4.2469536057708011</c:v>
                </c:pt>
                <c:pt idx="184">
                  <c:v>-4.4193148296202889</c:v>
                </c:pt>
                <c:pt idx="185">
                  <c:v>-4.6058227752498073</c:v>
                </c:pt>
                <c:pt idx="186">
                  <c:v>-4.8069084587597741</c:v>
                </c:pt>
                <c:pt idx="187">
                  <c:v>-5.0228973041145784</c:v>
                </c:pt>
                <c:pt idx="188">
                  <c:v>-5.253996074518942</c:v>
                </c:pt>
                <c:pt idx="189">
                  <c:v>-5.5002822991638256</c:v>
                </c:pt>
                <c:pt idx="190">
                  <c:v>-5.7616967395175775</c:v>
                </c:pt>
                <c:pt idx="191">
                  <c:v>-6.0380392635840678</c:v>
                </c:pt>
                <c:pt idx="192">
                  <c:v>-6.3289682829052012</c:v>
                </c:pt>
                <c:pt idx="193">
                  <c:v>-6.634003677956489</c:v>
                </c:pt>
                <c:pt idx="194">
                  <c:v>-6.9525329180506876</c:v>
                </c:pt>
                <c:pt idx="195">
                  <c:v>-7.283819895681626</c:v>
                </c:pt>
                <c:pt idx="196">
                  <c:v>-7.6270158611290926</c:v>
                </c:pt>
                <c:pt idx="197">
                  <c:v>-7.9811717722152</c:v>
                </c:pt>
                <c:pt idx="198">
                  <c:v>-8.3452513687861796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23584"/>
        <c:axId val="150729472"/>
      </c:scatterChart>
      <c:valAx>
        <c:axId val="15072358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729472"/>
        <c:crosses val="autoZero"/>
        <c:crossBetween val="midCat"/>
      </c:valAx>
      <c:valAx>
        <c:axId val="15072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723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Compensation'!$AT$2:$AT$201</c:f>
              <c:numCache>
                <c:formatCode>General</c:formatCode>
                <c:ptCount val="200"/>
                <c:pt idx="0">
                  <c:v>148.0399728701662</c:v>
                </c:pt>
                <c:pt idx="1">
                  <c:v>146.43480038167095</c:v>
                </c:pt>
                <c:pt idx="2">
                  <c:v>144.79054635293767</c:v>
                </c:pt>
                <c:pt idx="3">
                  <c:v>143.11175847011768</c:v>
                </c:pt>
                <c:pt idx="4">
                  <c:v>141.4035419238802</c:v>
                </c:pt>
                <c:pt idx="5">
                  <c:v>139.67149862047501</c:v>
                </c:pt>
                <c:pt idx="6">
                  <c:v>137.9216468408832</c:v>
                </c:pt>
                <c:pt idx="7">
                  <c:v>136.16032354125207</c:v>
                </c:pt>
                <c:pt idx="8">
                  <c:v>134.39407277767208</c:v>
                </c:pt>
                <c:pt idx="9">
                  <c:v>132.62952483071501</c:v>
                </c:pt>
                <c:pt idx="10">
                  <c:v>130.87327136571247</c:v>
                </c:pt>
                <c:pt idx="11">
                  <c:v>129.13174229539902</c:v>
                </c:pt>
                <c:pt idx="12">
                  <c:v>127.41108986856466</c:v>
                </c:pt>
                <c:pt idx="13">
                  <c:v>125.7170849107322</c:v>
                </c:pt>
                <c:pt idx="14">
                  <c:v>124.05502916863728</c:v>
                </c:pt>
                <c:pt idx="15">
                  <c:v>122.42968648194365</c:v>
                </c:pt>
                <c:pt idx="16">
                  <c:v>120.84523416800947</c:v>
                </c:pt>
                <c:pt idx="17">
                  <c:v>119.30523470195469</c:v>
                </c:pt>
                <c:pt idx="18">
                  <c:v>117.8126266256525</c:v>
                </c:pt>
                <c:pt idx="19">
                  <c:v>116.36973271015758</c:v>
                </c:pt>
                <c:pt idx="20">
                  <c:v>114.9782827694599</c:v>
                </c:pt>
                <c:pt idx="21">
                  <c:v>113.63944818291222</c:v>
                </c:pt>
                <c:pt idx="22">
                  <c:v>112.3538851016278</c:v>
                </c:pt>
                <c:pt idx="23">
                  <c:v>111.12178344246489</c:v>
                </c:pt>
                <c:pt idx="24">
                  <c:v>109.94291905435874</c:v>
                </c:pt>
                <c:pt idx="25">
                  <c:v>108.8167068179352</c:v>
                </c:pt>
                <c:pt idx="26">
                  <c:v>107.74225285921436</c:v>
                </c:pt>
                <c:pt idx="27">
                  <c:v>106.71840448057418</c:v>
                </c:pt>
                <c:pt idx="28">
                  <c:v>105.7437968072463</c:v>
                </c:pt>
                <c:pt idx="29">
                  <c:v>104.81689549662022</c:v>
                </c:pt>
                <c:pt idx="30">
                  <c:v>103.93603515097406</c:v>
                </c:pt>
                <c:pt idx="31">
                  <c:v>103.09945330955215</c:v>
                </c:pt>
                <c:pt idx="32">
                  <c:v>102.30532007580308</c:v>
                </c:pt>
                <c:pt idx="33">
                  <c:v>101.55176356581198</c:v>
                </c:pt>
                <c:pt idx="34">
                  <c:v>100.83689145185353</c:v>
                </c:pt>
                <c:pt idx="35">
                  <c:v>100.15880892830432</c:v>
                </c:pt>
                <c:pt idx="36">
                  <c:v>99.515633453383799</c:v>
                </c:pt>
                <c:pt idx="37">
                  <c:v>98.905506626041529</c:v>
                </c:pt>
                <c:pt idx="38">
                  <c:v>98.326603548526549</c:v>
                </c:pt>
                <c:pt idx="39">
                  <c:v>97.777140006490384</c:v>
                </c:pt>
                <c:pt idx="40">
                  <c:v>97.255377773601339</c:v>
                </c:pt>
                <c:pt idx="41">
                  <c:v>96.759628319466799</c:v>
                </c:pt>
                <c:pt idx="42">
                  <c:v>96.288255170256647</c:v>
                </c:pt>
                <c:pt idx="43">
                  <c:v>95.83967514230072</c:v>
                </c:pt>
                <c:pt idx="44">
                  <c:v>95.412358641097256</c:v>
                </c:pt>
                <c:pt idx="45">
                  <c:v>95.004829192251904</c:v>
                </c:pt>
                <c:pt idx="46">
                  <c:v>94.615662347217537</c:v>
                </c:pt>
                <c:pt idx="47">
                  <c:v>94.243484085472758</c:v>
                </c:pt>
                <c:pt idx="48">
                  <c:v>93.88696881597852</c:v>
                </c:pt>
                <c:pt idx="49">
                  <c:v>93.544837064294768</c:v>
                </c:pt>
                <c:pt idx="50">
                  <c:v>93.215852917489002</c:v>
                </c:pt>
                <c:pt idx="51">
                  <c:v>92.898821286751996</c:v>
                </c:pt>
                <c:pt idx="52">
                  <c:v>92.592585037271363</c:v>
                </c:pt>
                <c:pt idx="53">
                  <c:v>92.296022026216278</c:v>
                </c:pt>
                <c:pt idx="54">
                  <c:v>92.008042082488288</c:v>
                </c:pt>
                <c:pt idx="55">
                  <c:v>91.727583956033072</c:v>
                </c:pt>
                <c:pt idx="56">
                  <c:v>91.453612259852946</c:v>
                </c:pt>
                <c:pt idx="57">
                  <c:v>91.185114424291214</c:v>
                </c:pt>
                <c:pt idx="58">
                  <c:v>90.921097680582974</c:v>
                </c:pt>
                <c:pt idx="59">
                  <c:v>90.660586089011403</c:v>
                </c:pt>
                <c:pt idx="60">
                  <c:v>90.402617626223687</c:v>
                </c:pt>
                <c:pt idx="61">
                  <c:v>90.146241346316941</c:v>
                </c:pt>
                <c:pt idx="62">
                  <c:v>89.890514631199011</c:v>
                </c:pt>
                <c:pt idx="63">
                  <c:v>89.634500547470481</c:v>
                </c:pt>
                <c:pt idx="64">
                  <c:v>89.377265329705352</c:v>
                </c:pt>
                <c:pt idx="65">
                  <c:v>89.117876013577188</c:v>
                </c:pt>
                <c:pt idx="66">
                  <c:v>88.855398246866486</c:v>
                </c:pt>
                <c:pt idx="67">
                  <c:v>88.588894312082587</c:v>
                </c:pt>
                <c:pt idx="68">
                  <c:v>88.317421401351979</c:v>
                </c:pt>
                <c:pt idx="69">
                  <c:v>88.040030192485176</c:v>
                </c:pt>
                <c:pt idx="70">
                  <c:v>87.75576378486744</c:v>
                </c:pt>
                <c:pt idx="71">
                  <c:v>87.463657065151324</c:v>
                </c:pt>
                <c:pt idx="72">
                  <c:v>87.162736585784842</c:v>
                </c:pt>
                <c:pt idx="73">
                  <c:v>86.852021054267269</c:v>
                </c:pt>
                <c:pt idx="74">
                  <c:v>86.530522547735856</c:v>
                </c:pt>
                <c:pt idx="75">
                  <c:v>86.197248585996348</c:v>
                </c:pt>
                <c:pt idx="76">
                  <c:v>85.851205216262201</c:v>
                </c:pt>
                <c:pt idx="77">
                  <c:v>85.491401284308139</c:v>
                </c:pt>
                <c:pt idx="78">
                  <c:v>85.116854088900496</c:v>
                </c:pt>
                <c:pt idx="79">
                  <c:v>84.726596638311676</c:v>
                </c:pt>
                <c:pt idx="80">
                  <c:v>84.319686748129158</c:v>
                </c:pt>
                <c:pt idx="81">
                  <c:v>83.895218236533225</c:v>
                </c:pt>
                <c:pt idx="82">
                  <c:v>83.452334484194665</c:v>
                </c:pt>
                <c:pt idx="83">
                  <c:v>82.990244627572295</c:v>
                </c:pt>
                <c:pt idx="84">
                  <c:v>82.508242642409542</c:v>
                </c:pt>
                <c:pt idx="85">
                  <c:v>82.005729543393173</c:v>
                </c:pt>
                <c:pt idx="86">
                  <c:v>81.482238870023622</c:v>
                </c:pt>
                <c:pt idx="87">
                  <c:v>80.937465540723636</c:v>
                </c:pt>
                <c:pt idx="88">
                  <c:v>80.371298029515017</c:v>
                </c:pt>
                <c:pt idx="89">
                  <c:v>79.783853644822557</c:v>
                </c:pt>
                <c:pt idx="90">
                  <c:v>79.175516461753233</c:v>
                </c:pt>
                <c:pt idx="91">
                  <c:v>78.546977173619752</c:v>
                </c:pt>
                <c:pt idx="92">
                  <c:v>77.899273785851577</c:v>
                </c:pt>
                <c:pt idx="93">
                  <c:v>77.233831682390758</c:v>
                </c:pt>
                <c:pt idx="94">
                  <c:v>76.552501166555047</c:v>
                </c:pt>
                <c:pt idx="95">
                  <c:v>75.857590141280298</c:v>
                </c:pt>
                <c:pt idx="96">
                  <c:v>75.151889185999451</c:v>
                </c:pt>
                <c:pt idx="97">
                  <c:v>74.438685959779676</c:v>
                </c:pt>
                <c:pt idx="98">
                  <c:v>73.721765673464404</c:v>
                </c:pt>
                <c:pt idx="99">
                  <c:v>73.005394393389651</c:v>
                </c:pt>
                <c:pt idx="100">
                  <c:v>72.294282228879013</c:v>
                </c:pt>
                <c:pt idx="101">
                  <c:v>71.593524064755456</c:v>
                </c:pt>
                <c:pt idx="102">
                  <c:v>70.908516452339597</c:v>
                </c:pt>
                <c:pt idx="103">
                  <c:v>70.244850554340644</c:v>
                </c:pt>
                <c:pt idx="104">
                  <c:v>69.608182591720521</c:v>
                </c:pt>
                <c:pt idx="105">
                  <c:v>69.004084957691191</c:v>
                </c:pt>
                <c:pt idx="106">
                  <c:v>68.437882898150818</c:v>
                </c:pt>
                <c:pt idx="107">
                  <c:v>67.914483235527143</c:v>
                </c:pt>
                <c:pt idx="108">
                  <c:v>67.438202856158853</c:v>
                </c:pt>
                <c:pt idx="109">
                  <c:v>67.012605432085707</c:v>
                </c:pt>
                <c:pt idx="110">
                  <c:v>66.640354991824296</c:v>
                </c:pt>
                <c:pt idx="111">
                  <c:v>66.323094436755866</c:v>
                </c:pt>
                <c:pt idx="112">
                  <c:v>66.061355933752523</c:v>
                </c:pt>
                <c:pt idx="113">
                  <c:v>65.85450838065023</c:v>
                </c:pt>
                <c:pt idx="114">
                  <c:v>65.70074497619629</c:v>
                </c:pt>
                <c:pt idx="115">
                  <c:v>65.597111509055566</c:v>
                </c:pt>
                <c:pt idx="116">
                  <c:v>65.53957351404388</c:v>
                </c:pt>
                <c:pt idx="117">
                  <c:v>65.523118135436079</c:v>
                </c:pt>
                <c:pt idx="118">
                  <c:v>65.541884579681124</c:v>
                </c:pt>
                <c:pt idx="119">
                  <c:v>65.589315592527527</c:v>
                </c:pt>
                <c:pt idx="120">
                  <c:v>65.65832156756332</c:v>
                </c:pt>
                <c:pt idx="121">
                  <c:v>65.741448730983052</c:v>
                </c:pt>
                <c:pt idx="122">
                  <c:v>65.831043328876433</c:v>
                </c:pt>
                <c:pt idx="123">
                  <c:v>65.919404781333654</c:v>
                </c:pt>
                <c:pt idx="124">
                  <c:v>65.998922222590124</c:v>
                </c:pt>
                <c:pt idx="125">
                  <c:v>66.062190546939078</c:v>
                </c:pt>
                <c:pt idx="126">
                  <c:v>66.10210384753799</c:v>
                </c:pt>
                <c:pt idx="127">
                  <c:v>66.111925807135805</c:v>
                </c:pt>
                <c:pt idx="128">
                  <c:v>66.085338048489817</c:v>
                </c:pt>
                <c:pt idx="129">
                  <c:v>66.01646859532589</c:v>
                </c:pt>
                <c:pt idx="130">
                  <c:v>65.899903396633363</c:v>
                </c:pt>
                <c:pt idx="131">
                  <c:v>65.730684333743568</c:v>
                </c:pt>
                <c:pt idx="132">
                  <c:v>65.504297297979392</c:v>
                </c:pt>
                <c:pt idx="133">
                  <c:v>65.216653852255703</c:v>
                </c:pt>
                <c:pt idx="134">
                  <c:v>64.864069735321038</c:v>
                </c:pt>
                <c:pt idx="135">
                  <c:v>64.443243092176616</c:v>
                </c:pt>
                <c:pt idx="136">
                  <c:v>63.951234869259039</c:v>
                </c:pt>
                <c:pt idx="137">
                  <c:v>63.385453336308871</c:v>
                </c:pt>
                <c:pt idx="138">
                  <c:v>62.74364421325815</c:v>
                </c:pt>
                <c:pt idx="139">
                  <c:v>62.023887402529951</c:v>
                </c:pt>
                <c:pt idx="140">
                  <c:v>61.224600857726557</c:v>
                </c:pt>
                <c:pt idx="141">
                  <c:v>60.344551655224961</c:v>
                </c:pt>
                <c:pt idx="142">
                  <c:v>59.382873869148639</c:v>
                </c:pt>
                <c:pt idx="143">
                  <c:v>58.339092376914294</c:v>
                </c:pt>
                <c:pt idx="144">
                  <c:v>57.213151240793437</c:v>
                </c:pt>
                <c:pt idx="145">
                  <c:v>56.005444827234598</c:v>
                </c:pt>
                <c:pt idx="146">
                  <c:v>54.716849357137576</c:v>
                </c:pt>
                <c:pt idx="147">
                  <c:v>53.348752156023465</c:v>
                </c:pt>
                <c:pt idx="148">
                  <c:v>51.903075534435914</c:v>
                </c:pt>
                <c:pt idx="149">
                  <c:v>50.382292026995898</c:v>
                </c:pt>
                <c:pt idx="150">
                  <c:v>48.789427708949304</c:v>
                </c:pt>
                <c:pt idx="151">
                  <c:v>47.128050543962843</c:v>
                </c:pt>
                <c:pt idx="152">
                  <c:v>45.402241234556428</c:v>
                </c:pt>
                <c:pt idx="153">
                  <c:v>43.616544859957628</c:v>
                </c:pt>
                <c:pt idx="154">
                  <c:v>41.775902673238477</c:v>
                </c:pt>
                <c:pt idx="155">
                  <c:v>39.885564727501617</c:v>
                </c:pt>
                <c:pt idx="156">
                  <c:v>37.950985407082499</c:v>
                </c:pt>
                <c:pt idx="157">
                  <c:v>35.977705321519551</c:v>
                </c:pt>
                <c:pt idx="158">
                  <c:v>33.971224231762847</c:v>
                </c:pt>
                <c:pt idx="159">
                  <c:v>31.93687058388619</c:v>
                </c:pt>
                <c:pt idx="160">
                  <c:v>29.879673722269899</c:v>
                </c:pt>
                <c:pt idx="161">
                  <c:v>27.804244889805119</c:v>
                </c:pt>
                <c:pt idx="162">
                  <c:v>25.714672704685427</c:v>
                </c:pt>
                <c:pt idx="163">
                  <c:v>23.614437995887357</c:v>
                </c:pt>
                <c:pt idx="164">
                  <c:v>21.506351788710276</c:v>
                </c:pt>
                <c:pt idx="165">
                  <c:v>19.392518984410572</c:v>
                </c:pt>
                <c:pt idx="166">
                  <c:v>17.274328997580682</c:v>
                </c:pt>
                <c:pt idx="167">
                  <c:v>15.152473402092824</c:v>
                </c:pt>
                <c:pt idx="168">
                  <c:v>13.026989556732872</c:v>
                </c:pt>
                <c:pt idx="169">
                  <c:v>10.897328263474833</c:v>
                </c:pt>
                <c:pt idx="170">
                  <c:v>8.7624427522691519</c:v>
                </c:pt>
                <c:pt idx="171">
                  <c:v>6.62089566562031</c:v>
                </c:pt>
                <c:pt idx="172">
                  <c:v>4.4709802099166609</c:v>
                </c:pt>
                <c:pt idx="173">
                  <c:v>2.3108512329980613</c:v>
                </c:pt>
                <c:pt idx="174">
                  <c:v>0.13866167943248797</c:v>
                </c:pt>
                <c:pt idx="175">
                  <c:v>-2.0473003169123274</c:v>
                </c:pt>
                <c:pt idx="176">
                  <c:v>-4.2484784928495856</c:v>
                </c:pt>
                <c:pt idx="177">
                  <c:v>-6.4659243399150341</c:v>
                </c:pt>
                <c:pt idx="178">
                  <c:v>-8.7001861847168129</c:v>
                </c:pt>
                <c:pt idx="179">
                  <c:v>-10.951215363963485</c:v>
                </c:pt>
                <c:pt idx="180">
                  <c:v>-13.218292770653449</c:v>
                </c:pt>
                <c:pt idx="181">
                  <c:v>-15.499978318503707</c:v>
                </c:pt>
                <c:pt idx="182">
                  <c:v>-17.794085077943294</c:v>
                </c:pt>
                <c:pt idx="183">
                  <c:v>-20.097679012924061</c:v>
                </c:pt>
                <c:pt idx="184">
                  <c:v>-22.407104411026893</c:v>
                </c:pt>
                <c:pt idx="185">
                  <c:v>-24.71803425160121</c:v>
                </c:pt>
                <c:pt idx="186">
                  <c:v>-27.025543892488344</c:v>
                </c:pt>
                <c:pt idx="187">
                  <c:v>-29.324205576526396</c:v>
                </c:pt>
                <c:pt idx="188">
                  <c:v>-31.608200386272671</c:v>
                </c:pt>
                <c:pt idx="189">
                  <c:v>-33.871443459171473</c:v>
                </c:pt>
                <c:pt idx="190">
                  <c:v>-36.107717591797496</c:v>
                </c:pt>
                <c:pt idx="191">
                  <c:v>-38.310809900298437</c:v>
                </c:pt>
                <c:pt idx="192">
                  <c:v>-40.474646047704994</c:v>
                </c:pt>
                <c:pt idx="193">
                  <c:v>317.40658324772562</c:v>
                </c:pt>
                <c:pt idx="194">
                  <c:v>315.3383081352419</c:v>
                </c:pt>
                <c:pt idx="195">
                  <c:v>313.32548179475714</c:v>
                </c:pt>
                <c:pt idx="196">
                  <c:v>311.372501505667</c:v>
                </c:pt>
                <c:pt idx="197">
                  <c:v>309.48315002027573</c:v>
                </c:pt>
                <c:pt idx="198">
                  <c:v>307.6605573823889</c:v>
                </c:pt>
                <c:pt idx="199">
                  <c:v>305.90718220079657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13728"/>
        <c:axId val="45515520"/>
      </c:scatterChart>
      <c:valAx>
        <c:axId val="4551372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15520"/>
        <c:crosses val="autoZero"/>
        <c:crossBetween val="midCat"/>
      </c:valAx>
      <c:valAx>
        <c:axId val="4551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13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</a:t>
            </a:r>
            <a:r>
              <a:rPr lang="en-US" baseline="0"/>
              <a:t>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Compensation'!$AS$1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Compensation'!$AS$2:$AS$200</c:f>
              <c:numCache>
                <c:formatCode>General</c:formatCode>
                <c:ptCount val="199"/>
                <c:pt idx="0">
                  <c:v>80.139419748972813</c:v>
                </c:pt>
                <c:pt idx="1">
                  <c:v>79.983392718354651</c:v>
                </c:pt>
                <c:pt idx="2">
                  <c:v>79.81344275806444</c:v>
                </c:pt>
                <c:pt idx="3">
                  <c:v>79.628933729995865</c:v>
                </c:pt>
                <c:pt idx="4">
                  <c:v>79.429302034379887</c:v>
                </c:pt>
                <c:pt idx="5">
                  <c:v>79.214071108775613</c:v>
                </c:pt>
                <c:pt idx="6">
                  <c:v>78.982864362023918</c:v>
                </c:pt>
                <c:pt idx="7">
                  <c:v>78.735415831357898</c:v>
                </c:pt>
                <c:pt idx="8">
                  <c:v>78.471577940542687</c:v>
                </c:pt>
                <c:pt idx="9">
                  <c:v>78.191325886847665</c:v>
                </c:pt>
                <c:pt idx="10">
                  <c:v>77.89475838285496</c:v>
                </c:pt>
                <c:pt idx="11">
                  <c:v>77.582094706251013</c:v>
                </c:pt>
                <c:pt idx="12">
                  <c:v>77.253668242902535</c:v>
                </c:pt>
                <c:pt idx="13">
                  <c:v>76.909916920950877</c:v>
                </c:pt>
                <c:pt idx="14">
                  <c:v>76.551371104797596</c:v>
                </c:pt>
                <c:pt idx="15">
                  <c:v>76.17863963253221</c:v>
                </c:pt>
                <c:pt idx="16">
                  <c:v>75.792394731709393</c:v>
                </c:pt>
                <c:pt idx="17">
                  <c:v>75.39335653805378</c:v>
                </c:pt>
                <c:pt idx="18">
                  <c:v>74.982277878500497</c:v>
                </c:pt>
                <c:pt idx="19">
                  <c:v>74.5599298776296</c:v>
                </c:pt>
                <c:pt idx="20">
                  <c:v>74.127088820830537</c:v>
                </c:pt>
                <c:pt idx="21">
                  <c:v>73.68452457376064</c:v>
                </c:pt>
                <c:pt idx="22">
                  <c:v>73.232990728868486</c:v>
                </c:pt>
                <c:pt idx="23">
                  <c:v>72.7732165355022</c:v>
                </c:pt>
                <c:pt idx="24">
                  <c:v>72.30590057625777</c:v>
                </c:pt>
                <c:pt idx="25">
                  <c:v>71.831706081146649</c:v>
                </c:pt>
                <c:pt idx="26">
                  <c:v>71.351257722529837</c:v>
                </c:pt>
                <c:pt idx="27">
                  <c:v>70.865139705323855</c:v>
                </c:pt>
                <c:pt idx="28">
                  <c:v>70.373894955368996</c:v>
                </c:pt>
                <c:pt idx="29">
                  <c:v>69.878025210293814</c:v>
                </c:pt>
                <c:pt idx="30">
                  <c:v>69.377991828004198</c:v>
                </c:pt>
                <c:pt idx="31">
                  <c:v>68.874217144795409</c:v>
                </c:pt>
                <c:pt idx="32">
                  <c:v>68.367086235287047</c:v>
                </c:pt>
                <c:pt idx="33">
                  <c:v>67.856948947816207</c:v>
                </c:pt>
                <c:pt idx="34">
                  <c:v>67.344122110053775</c:v>
                </c:pt>
                <c:pt idx="35">
                  <c:v>66.828891819412604</c:v>
                </c:pt>
                <c:pt idx="36">
                  <c:v>66.311515750681181</c:v>
                </c:pt>
                <c:pt idx="37">
                  <c:v>65.792225428940924</c:v>
                </c:pt>
                <c:pt idx="38">
                  <c:v>65.271228429140805</c:v>
                </c:pt>
                <c:pt idx="39">
                  <c:v>64.748710474788723</c:v>
                </c:pt>
                <c:pt idx="40">
                  <c:v>64.224837417249034</c:v>
                </c:pt>
                <c:pt idx="41">
                  <c:v>63.699757084340611</c:v>
                </c:pt>
                <c:pt idx="42">
                  <c:v>63.173600992543612</c:v>
                </c:pt>
                <c:pt idx="43">
                  <c:v>62.6464859214054</c:v>
                </c:pt>
                <c:pt idx="44">
                  <c:v>62.118515351893357</c:v>
                </c:pt>
                <c:pt idx="45">
                  <c:v>61.589780772699612</c:v>
                </c:pt>
                <c:pt idx="46">
                  <c:v>61.060362860023233</c:v>
                </c:pt>
                <c:pt idx="47">
                  <c:v>60.530332537303522</c:v>
                </c:pt>
                <c:pt idx="48">
                  <c:v>59.999751921874363</c:v>
                </c:pt>
                <c:pt idx="49">
                  <c:v>59.46867516566293</c:v>
                </c:pt>
                <c:pt idx="50">
                  <c:v>58.937149196952404</c:v>
                </c:pt>
                <c:pt idx="51">
                  <c:v>58.405214369931223</c:v>
                </c:pt>
                <c:pt idx="52">
                  <c:v>57.872905028322698</c:v>
                </c:pt>
                <c:pt idx="53">
                  <c:v>57.340249988856648</c:v>
                </c:pt>
                <c:pt idx="54">
                  <c:v>56.807272949758442</c:v>
                </c:pt>
                <c:pt idx="55">
                  <c:v>56.27399282879496</c:v>
                </c:pt>
                <c:pt idx="56">
                  <c:v>55.740424034763265</c:v>
                </c:pt>
                <c:pt idx="57">
                  <c:v>55.206576675643376</c:v>
                </c:pt>
                <c:pt idx="58">
                  <c:v>54.67245670596818</c:v>
                </c:pt>
                <c:pt idx="59">
                  <c:v>54.138066015299785</c:v>
                </c:pt>
                <c:pt idx="60">
                  <c:v>53.60340245905104</c:v>
                </c:pt>
                <c:pt idx="61">
                  <c:v>53.068459832246418</c:v>
                </c:pt>
                <c:pt idx="62">
                  <c:v>52.533227786193834</c:v>
                </c:pt>
                <c:pt idx="63">
                  <c:v>51.997691687435349</c:v>
                </c:pt>
                <c:pt idx="64">
                  <c:v>51.461832417763446</c:v>
                </c:pt>
                <c:pt idx="65">
                  <c:v>50.925626113548361</c:v>
                </c:pt>
                <c:pt idx="66">
                  <c:v>50.389043842119229</c:v>
                </c:pt>
                <c:pt idx="67">
                  <c:v>49.852051212500719</c:v>
                </c:pt>
                <c:pt idx="68">
                  <c:v>49.314607917448399</c:v>
                </c:pt>
                <c:pt idx="69">
                  <c:v>48.776667203466644</c:v>
                </c:pt>
                <c:pt idx="70">
                  <c:v>48.238175265385152</c:v>
                </c:pt>
                <c:pt idx="71">
                  <c:v>47.699070562142388</c:v>
                </c:pt>
                <c:pt idx="72">
                  <c:v>47.159283050747305</c:v>
                </c:pt>
                <c:pt idx="73">
                  <c:v>46.618733336032136</c:v>
                </c:pt>
                <c:pt idx="74">
                  <c:v>46.07733173485655</c:v>
                </c:pt>
                <c:pt idx="75">
                  <c:v>45.534977254995297</c:v>
                </c:pt>
                <c:pt idx="76">
                  <c:v>44.99155649115599</c:v>
                </c:pt>
                <c:pt idx="77">
                  <c:v>44.44694244360015</c:v>
                </c:pt>
                <c:pt idx="78">
                  <c:v>43.900993268834782</c:v>
                </c:pt>
                <c:pt idx="79">
                  <c:v>43.353550977027993</c:v>
                </c:pt>
                <c:pt idx="80">
                  <c:v>42.804440097359027</c:v>
                </c:pt>
                <c:pt idx="81">
                  <c:v>42.253466340685463</c:v>
                </c:pt>
                <c:pt idx="82">
                  <c:v>41.700415298876216</c:v>
                </c:pt>
                <c:pt idx="83">
                  <c:v>41.145051232095341</c:v>
                </c:pt>
                <c:pt idx="84">
                  <c:v>40.587116009296381</c:v>
                </c:pt>
                <c:pt idx="85">
                  <c:v>40.026328283164382</c:v>
                </c:pt>
                <c:pt idx="86">
                  <c:v>39.462382998468243</c:v>
                </c:pt>
                <c:pt idx="87">
                  <c:v>38.894951351742861</c:v>
                </c:pt>
                <c:pt idx="88">
                  <c:v>38.323681339505711</c:v>
                </c:pt>
                <c:pt idx="89">
                  <c:v>37.748199050459732</c:v>
                </c:pt>
                <c:pt idx="90">
                  <c:v>37.168110872417117</c:v>
                </c:pt>
                <c:pt idx="91">
                  <c:v>36.583006794433402</c:v>
                </c:pt>
                <c:pt idx="92">
                  <c:v>35.99246498568975</c:v>
                </c:pt>
                <c:pt idx="93">
                  <c:v>35.396057821302364</c:v>
                </c:pt>
                <c:pt idx="94">
                  <c:v>34.793359497461509</c:v>
                </c:pt>
                <c:pt idx="95">
                  <c:v>34.183955330221721</c:v>
                </c:pt>
                <c:pt idx="96">
                  <c:v>33.567452760734469</c:v>
                </c:pt>
                <c:pt idx="97">
                  <c:v>32.94349399308468</c:v>
                </c:pt>
                <c:pt idx="98">
                  <c:v>32.311770069956822</c:v>
                </c:pt>
                <c:pt idx="99">
                  <c:v>31.672036050217866</c:v>
                </c:pt>
                <c:pt idx="100">
                  <c:v>31.024126799253803</c:v>
                </c:pt>
                <c:pt idx="101">
                  <c:v>30.367972749817085</c:v>
                </c:pt>
                <c:pt idx="102">
                  <c:v>29.703614854218287</c:v>
                </c:pt>
                <c:pt idx="103">
                  <c:v>29.031217846278128</c:v>
                </c:pt>
                <c:pt idx="104">
                  <c:v>28.351080882045409</c:v>
                </c:pt>
                <c:pt idx="105">
                  <c:v>27.66364464775787</c:v>
                </c:pt>
                <c:pt idx="106">
                  <c:v>26.969494122154785</c:v>
                </c:pt>
                <c:pt idx="107">
                  <c:v>26.269356360216534</c:v>
                </c:pt>
                <c:pt idx="108">
                  <c:v>25.56409291935276</c:v>
                </c:pt>
                <c:pt idx="109">
                  <c:v>24.85468686009521</c:v>
                </c:pt>
                <c:pt idx="110">
                  <c:v>24.142224596671678</c:v>
                </c:pt>
                <c:pt idx="111">
                  <c:v>23.427873218563708</c:v>
                </c:pt>
                <c:pt idx="112">
                  <c:v>22.712854220922985</c:v>
                </c:pt>
                <c:pt idx="113">
                  <c:v>21.998414840369506</c:v>
                </c:pt>
                <c:pt idx="114">
                  <c:v>21.285798369311333</c:v>
                </c:pt>
                <c:pt idx="115">
                  <c:v>20.576214900305395</c:v>
                </c:pt>
                <c:pt idx="116">
                  <c:v>19.87081392494574</c:v>
                </c:pt>
                <c:pt idx="117">
                  <c:v>19.170660081839184</c:v>
                </c:pt>
                <c:pt idx="118">
                  <c:v>18.476713127373241</c:v>
                </c:pt>
                <c:pt idx="119">
                  <c:v>17.789812911613893</c:v>
                </c:pt>
                <c:pt idx="120">
                  <c:v>17.110669806733544</c:v>
                </c:pt>
                <c:pt idx="121">
                  <c:v>16.439860687583071</c:v>
                </c:pt>
                <c:pt idx="122">
                  <c:v>15.77783023437792</c:v>
                </c:pt>
                <c:pt idx="123">
                  <c:v>15.124897043581308</c:v>
                </c:pt>
                <c:pt idx="124">
                  <c:v>14.481263815840995</c:v>
                </c:pt>
                <c:pt idx="125">
                  <c:v>13.84703075121616</c:v>
                </c:pt>
                <c:pt idx="126">
                  <c:v>13.222211224125068</c:v>
                </c:pt>
                <c:pt idx="127">
                  <c:v>12.606748826661486</c:v>
                </c:pt>
                <c:pt idx="128">
                  <c:v>12.000534945469715</c:v>
                </c:pt>
                <c:pt idx="129">
                  <c:v>11.403426156431259</c:v>
                </c:pt>
                <c:pt idx="130">
                  <c:v>10.815260864041987</c:v>
                </c:pt>
                <c:pt idx="131">
                  <c:v>10.235874760955957</c:v>
                </c:pt>
                <c:pt idx="132">
                  <c:v>9.6651148233314306</c:v>
                </c:pt>
                <c:pt idx="133">
                  <c:v>9.1028516789647611</c:v>
                </c:pt>
                <c:pt idx="134">
                  <c:v>8.5489902815687469</c:v>
                </c:pt>
                <c:pt idx="135">
                  <c:v>8.003478893532737</c:v>
                </c:pt>
                <c:pt idx="136">
                  <c:v>7.4663164216535645</c:v>
                </c:pt>
                <c:pt idx="137">
                  <c:v>6.9375581683546184</c:v>
                </c:pt>
                <c:pt idx="138">
                  <c:v>6.4173200588712502</c:v>
                </c:pt>
                <c:pt idx="139">
                  <c:v>5.9057813875821132</c:v>
                </c:pt>
                <c:pt idx="140">
                  <c:v>5.4031860992428706</c:v>
                </c:pt>
                <c:pt idx="141">
                  <c:v>4.9098425885926638</c:v>
                </c:pt>
                <c:pt idx="142">
                  <c:v>4.4261219699012306</c:v>
                </c:pt>
                <c:pt idx="143">
                  <c:v>3.9524547417493072</c:v>
                </c:pt>
                <c:pt idx="144">
                  <c:v>3.4893257567859628</c:v>
                </c:pt>
                <c:pt idx="145">
                  <c:v>3.0372674062786666</c:v>
                </c:pt>
                <c:pt idx="146">
                  <c:v>2.596850949237532</c:v>
                </c:pt>
                <c:pt idx="147">
                  <c:v>2.168675959000975</c:v>
                </c:pt>
                <c:pt idx="148">
                  <c:v>1.7533579279082749</c:v>
                </c:pt>
                <c:pt idx="149">
                  <c:v>1.351514162063832</c:v>
                </c:pt>
                <c:pt idx="150">
                  <c:v>0.96374820899981728</c:v>
                </c:pt>
                <c:pt idx="151">
                  <c:v>0.59063318337246296</c:v>
                </c:pt>
                <c:pt idx="152">
                  <c:v>0.23269447809504662</c:v>
                </c:pt>
                <c:pt idx="153">
                  <c:v>-0.10960754399734851</c:v>
                </c:pt>
                <c:pt idx="154">
                  <c:v>-0.43589420569412063</c:v>
                </c:pt>
                <c:pt idx="155">
                  <c:v>-0.74588381432702011</c:v>
                </c:pt>
                <c:pt idx="156">
                  <c:v>-1.039404925666084</c:v>
                </c:pt>
                <c:pt idx="157">
                  <c:v>-1.3164069820380506</c:v>
                </c:pt>
                <c:pt idx="158">
                  <c:v>-1.5769678807151568</c:v>
                </c:pt>
                <c:pt idx="159">
                  <c:v>-1.8212982227287684</c:v>
                </c:pt>
                <c:pt idx="160">
                  <c:v>-2.0497422140649464</c:v>
                </c:pt>
                <c:pt idx="161">
                  <c:v>-2.2627754159788283</c:v>
                </c:pt>
                <c:pt idx="162">
                  <c:v>-2.4609997428890917</c:v>
                </c:pt>
                <c:pt idx="163">
                  <c:v>-2.6451362617362957</c:v>
                </c:pt>
                <c:pt idx="164">
                  <c:v>-2.8160164389269897</c:v>
                </c:pt>
                <c:pt idx="165">
                  <c:v>-2.9745725017919846</c:v>
                </c:pt>
                <c:pt idx="166">
                  <c:v>-3.1218275319963067</c:v>
                </c:pt>
                <c:pt idx="167">
                  <c:v>-3.2588857981637624</c:v>
                </c:pt>
                <c:pt idx="168">
                  <c:v>-3.3869236803253768</c:v>
                </c:pt>
                <c:pt idx="169">
                  <c:v>-3.5071813597940009</c:v>
                </c:pt>
                <c:pt idx="170">
                  <c:v>-3.6209552661519573</c:v>
                </c:pt>
                <c:pt idx="171">
                  <c:v>-3.7295911084940023</c:v>
                </c:pt>
                <c:pt idx="172">
                  <c:v>-3.8344771879989192</c:v>
                </c:pt>
                <c:pt idx="173">
                  <c:v>-3.9370376057081242</c:v>
                </c:pt>
                <c:pt idx="174">
                  <c:v>-4.0387249496449336</c:v>
                </c:pt>
                <c:pt idx="175">
                  <c:v>-4.1410120694087089</c:v>
                </c:pt>
                <c:pt idx="176">
                  <c:v>-4.2453826183222523</c:v>
                </c:pt>
                <c:pt idx="177">
                  <c:v>-4.3533201522388119</c:v>
                </c:pt>
                <c:pt idx="178">
                  <c:v>-4.466295706124356</c:v>
                </c:pt>
                <c:pt idx="179">
                  <c:v>-4.5857539096147892</c:v>
                </c:pt>
                <c:pt idx="180">
                  <c:v>-4.7130978375904711</c:v>
                </c:pt>
                <c:pt idx="181">
                  <c:v>-4.8496729116353956</c:v>
                </c:pt>
                <c:pt idx="182">
                  <c:v>-4.9967502675491007</c:v>
                </c:pt>
                <c:pt idx="183">
                  <c:v>-5.1555100810865691</c:v>
                </c:pt>
                <c:pt idx="184">
                  <c:v>-5.3270253991096759</c:v>
                </c:pt>
                <c:pt idx="185">
                  <c:v>-5.5122470565841386</c:v>
                </c:pt>
                <c:pt idx="186">
                  <c:v>-5.7119902698150238</c:v>
                </c:pt>
                <c:pt idx="187">
                  <c:v>-5.9269234791088721</c:v>
                </c:pt>
                <c:pt idx="188">
                  <c:v>-6.1575599643088301</c:v>
                </c:pt>
                <c:pt idx="189">
                  <c:v>-6.4042526696752864</c:v>
                </c:pt>
                <c:pt idx="190">
                  <c:v>-6.667192548946308</c:v>
                </c:pt>
                <c:pt idx="191">
                  <c:v>-6.946410581193696</c:v>
                </c:pt>
                <c:pt idx="192">
                  <c:v>-7.2417834237991174</c:v>
                </c:pt>
                <c:pt idx="193">
                  <c:v>-7.5530424766575663</c:v>
                </c:pt>
                <c:pt idx="194">
                  <c:v>-7.8797859509386212</c:v>
                </c:pt>
                <c:pt idx="195">
                  <c:v>-8.2214933855974035</c:v>
                </c:pt>
                <c:pt idx="196">
                  <c:v>-8.5775419508567268</c:v>
                </c:pt>
                <c:pt idx="197">
                  <c:v>-8.9472238293377853</c:v>
                </c:pt>
                <c:pt idx="198">
                  <c:v>-9.3297639740610556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27808"/>
        <c:axId val="45529344"/>
      </c:scatterChart>
      <c:valAx>
        <c:axId val="4552780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29344"/>
        <c:crosses val="autoZero"/>
        <c:crossBetween val="midCat"/>
      </c:valAx>
      <c:valAx>
        <c:axId val="4552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27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F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0</xdr:col>
      <xdr:colOff>7400925</xdr:colOff>
      <xdr:row>3</xdr:row>
      <xdr:rowOff>2781300</xdr:rowOff>
    </xdr:to>
    <xdr:pic>
      <xdr:nvPicPr>
        <xdr:cNvPr id="2" name="Picture 1" descr="ONHoriz-2DGreen-Lg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09600"/>
          <a:ext cx="731520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95250</xdr:rowOff>
        </xdr:from>
        <xdr:to>
          <xdr:col>7</xdr:col>
          <xdr:colOff>47625</xdr:colOff>
          <xdr:row>2</xdr:row>
          <xdr:rowOff>123825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Upper Feedback Resistor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7</xdr:col>
          <xdr:colOff>47625</xdr:colOff>
          <xdr:row>4</xdr:row>
          <xdr:rowOff>38100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Feedback Resistor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145676</xdr:rowOff>
    </xdr:from>
    <xdr:to>
      <xdr:col>4</xdr:col>
      <xdr:colOff>717178</xdr:colOff>
      <xdr:row>40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33617</xdr:colOff>
      <xdr:row>10</xdr:row>
      <xdr:rowOff>156882</xdr:rowOff>
    </xdr:from>
    <xdr:to>
      <xdr:col>4</xdr:col>
      <xdr:colOff>750794</xdr:colOff>
      <xdr:row>25</xdr:row>
      <xdr:rowOff>44823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829238</xdr:colOff>
      <xdr:row>25</xdr:row>
      <xdr:rowOff>145676</xdr:rowOff>
    </xdr:from>
    <xdr:to>
      <xdr:col>9</xdr:col>
      <xdr:colOff>11211</xdr:colOff>
      <xdr:row>40</xdr:row>
      <xdr:rowOff>33617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862855</xdr:colOff>
      <xdr:row>10</xdr:row>
      <xdr:rowOff>156882</xdr:rowOff>
    </xdr:from>
    <xdr:to>
      <xdr:col>9</xdr:col>
      <xdr:colOff>44827</xdr:colOff>
      <xdr:row>25</xdr:row>
      <xdr:rowOff>44823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145679</xdr:colOff>
      <xdr:row>25</xdr:row>
      <xdr:rowOff>145677</xdr:rowOff>
    </xdr:from>
    <xdr:to>
      <xdr:col>15</xdr:col>
      <xdr:colOff>481853</xdr:colOff>
      <xdr:row>40</xdr:row>
      <xdr:rowOff>33618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179296</xdr:colOff>
      <xdr:row>10</xdr:row>
      <xdr:rowOff>156883</xdr:rowOff>
    </xdr:from>
    <xdr:to>
      <xdr:col>15</xdr:col>
      <xdr:colOff>481853</xdr:colOff>
      <xdr:row>25</xdr:row>
      <xdr:rowOff>44824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26"/>
  <sheetViews>
    <sheetView workbookViewId="0">
      <selection activeCell="A26" sqref="A26"/>
    </sheetView>
  </sheetViews>
  <sheetFormatPr defaultRowHeight="15" x14ac:dyDescent="0.25"/>
  <cols>
    <col min="1" max="1" width="111.42578125" customWidth="1"/>
  </cols>
  <sheetData>
    <row r="1" spans="1:1" x14ac:dyDescent="0.25">
      <c r="A1" s="6" t="s">
        <v>149</v>
      </c>
    </row>
    <row r="2" spans="1:1" x14ac:dyDescent="0.25">
      <c r="A2" t="s">
        <v>150</v>
      </c>
    </row>
    <row r="3" spans="1:1" x14ac:dyDescent="0.25">
      <c r="A3" t="s">
        <v>112</v>
      </c>
    </row>
    <row r="4" spans="1:1" ht="276.75" customHeight="1" x14ac:dyDescent="0.25"/>
    <row r="5" spans="1:1" x14ac:dyDescent="0.25">
      <c r="A5" t="s">
        <v>113</v>
      </c>
    </row>
    <row r="26" spans="1:1" x14ac:dyDescent="0.25">
      <c r="A26" t="s">
        <v>151</v>
      </c>
    </row>
  </sheetData>
  <sheetProtection selectLockedCells="1"/>
  <customSheetViews>
    <customSheetView guid="{25ED444C-8CCE-464F-9E26-1EDA12EA830D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202"/>
  <sheetViews>
    <sheetView tabSelected="1" zoomScale="85" zoomScaleNormal="85" workbookViewId="0">
      <selection activeCell="B8" sqref="B8"/>
    </sheetView>
  </sheetViews>
  <sheetFormatPr defaultRowHeight="15" x14ac:dyDescent="0.25"/>
  <cols>
    <col min="1" max="1" width="27.42578125" customWidth="1"/>
    <col min="2" max="2" width="12.28515625" bestFit="1" customWidth="1"/>
    <col min="5" max="5" width="44.5703125" customWidth="1"/>
    <col min="9" max="9" width="9.140625" style="5" customWidth="1"/>
    <col min="10" max="10" width="9.140625" style="5"/>
    <col min="11" max="11" width="12.28515625" style="5" bestFit="1" customWidth="1"/>
    <col min="12" max="12" width="12.28515625" style="5" customWidth="1"/>
    <col min="13" max="16" width="9.140625" style="5"/>
    <col min="17" max="17" width="8.7109375" style="5" customWidth="1"/>
    <col min="18" max="18" width="10.7109375" style="9" customWidth="1"/>
    <col min="19" max="46" width="0.140625" style="9" customWidth="1"/>
    <col min="47" max="47" width="10.7109375" customWidth="1"/>
    <col min="48" max="48" width="8.7109375" customWidth="1"/>
  </cols>
  <sheetData>
    <row r="1" spans="1:46" x14ac:dyDescent="0.25">
      <c r="A1" t="s">
        <v>102</v>
      </c>
      <c r="B1" s="2">
        <v>10000</v>
      </c>
      <c r="C1" t="s">
        <v>92</v>
      </c>
      <c r="E1" t="s">
        <v>89</v>
      </c>
      <c r="S1" s="9" t="s">
        <v>62</v>
      </c>
      <c r="T1" s="9">
        <f>(2*Rout*Vf*Vin_nominal-(Rsw_eq+Rout*(Vin_nominal/Vout-2))*Vout^2-Vout*(Rout*(Rout*Vin_nominal^2+2*Rsw_eq*Vin_nominal*Vout-4*Vf*Rsw_eq*Vin_nominal-4*Rsw_eq*Vout^2-4*rL*Vf*Vin_nominal-4*rL*Vout^2)+Rsw_eq^2*Vout^2)^0.5)/(2*Rout*(Vout^2+Vf*Vin_nominal))</f>
        <v>0.66950870136942797</v>
      </c>
      <c r="Z1" s="9" t="s">
        <v>26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18</v>
      </c>
      <c r="AG1" s="9" t="s">
        <v>24</v>
      </c>
      <c r="AH1" s="9" t="s">
        <v>25</v>
      </c>
      <c r="AI1" s="10" t="s">
        <v>27</v>
      </c>
      <c r="AJ1" s="10" t="s">
        <v>28</v>
      </c>
      <c r="AK1" s="10" t="s">
        <v>96</v>
      </c>
      <c r="AL1" s="10" t="s">
        <v>97</v>
      </c>
      <c r="AM1" s="10" t="s">
        <v>98</v>
      </c>
      <c r="AN1" s="10" t="s">
        <v>99</v>
      </c>
      <c r="AO1" s="10" t="s">
        <v>101</v>
      </c>
      <c r="AP1" s="9" t="s">
        <v>25</v>
      </c>
      <c r="AQ1" s="10" t="s">
        <v>27</v>
      </c>
      <c r="AR1" s="10" t="s">
        <v>28</v>
      </c>
      <c r="AS1" s="10" t="s">
        <v>28</v>
      </c>
      <c r="AT1" s="10" t="s">
        <v>27</v>
      </c>
    </row>
    <row r="2" spans="1:46" x14ac:dyDescent="0.25">
      <c r="A2" t="s">
        <v>108</v>
      </c>
      <c r="B2" s="3">
        <f>INDEX(AG2:AG202,MATCH(B1,Z2:Z202,1))</f>
        <v>1.5692770995419951</v>
      </c>
      <c r="E2" t="s">
        <v>90</v>
      </c>
      <c r="F2" s="2">
        <v>1</v>
      </c>
      <c r="G2" t="s">
        <v>92</v>
      </c>
      <c r="S2" s="9" t="s">
        <v>6</v>
      </c>
      <c r="T2" s="9">
        <f>1-D_</f>
        <v>0.33049129863057203</v>
      </c>
      <c r="V2" s="9" t="s">
        <v>9</v>
      </c>
      <c r="W2" s="9">
        <f>PI()/T3</f>
        <v>1413716.6941154071</v>
      </c>
      <c r="Y2" s="9">
        <v>0</v>
      </c>
      <c r="Z2" s="9">
        <f>10^(LOG($F$3/$F$2,10)*Y2/200)</f>
        <v>1</v>
      </c>
      <c r="AA2" s="9" t="str">
        <f>IMPRODUCT(COMPLEX(0,1),2*PI()*Z2)</f>
        <v>6.28318530717959i</v>
      </c>
      <c r="AB2" s="9">
        <f>(Assumed_Efficiency/100)*Rout/'4. Current Sense Resistor'!$B$11</f>
        <v>135.14141414141415</v>
      </c>
      <c r="AC2" s="9">
        <f>1/(2*M_IC+Rout*Tsw/(Lo*M_IC^2)*(0.5+Se/Sn))</f>
        <v>0.13943594812585286</v>
      </c>
      <c r="AD2" s="9" t="str">
        <f t="shared" ref="AD2:AD65" si="0">IMDIV(IMSUM(1,IMDIV(AA2,$W$4)),IMSUM(1,IMDIV(AA2,$W$6)))</f>
        <v>0.999997840293096-0.00145980785710493i</v>
      </c>
      <c r="AE2" s="9" t="str">
        <f>IMDIV(IMSUM(1,IMDIV(IMPRODUCT(-1,AA2),$W$5)),IMSUM(1,IMDIV(AA2,$W$2*$W$3),IMDIV(IMPOWER(AA2,2),$W$2^2)))</f>
        <v>0.999999998450462-0.0000835769432031995i</v>
      </c>
      <c r="AF2" s="9" t="str">
        <f t="shared" ref="AF2:AF65" si="1">IF(D_&lt;Dmax,IMPRODUCT(AB2,AC$2,AD2,AE2),0)</f>
        <v>18.843528187053-0.0290828779480129i</v>
      </c>
      <c r="AG2" s="9">
        <f>IMABS(AF2)</f>
        <v>18.843550630124106</v>
      </c>
      <c r="AH2" s="9">
        <f t="shared" ref="AH2:AH56" si="2">IMARGUMENT(AF2)</f>
        <v>-1.543386916032415E-3</v>
      </c>
      <c r="AI2" s="9">
        <f t="shared" ref="AI2:AI56" si="3">AH2/(PI())*180</f>
        <v>-8.8429556444369353E-2</v>
      </c>
      <c r="AJ2" s="9">
        <f t="shared" ref="AJ2:AJ56" si="4">20*LOG(AG2,10)</f>
        <v>25.503254777823141</v>
      </c>
      <c r="AK2" s="9">
        <f>-1.2/Vout*gm*R0</f>
        <v>-635.2941176470589</v>
      </c>
      <c r="AL2" s="9" t="str">
        <f t="shared" ref="AL2:AL65" si="5">IMDIV(IMSUM(1,IMDIV(AA2,wz1e)),IMSUM(1,IMDIV(AA2,wp1e)))</f>
        <v>0.720879371642772-0.448204665131212i</v>
      </c>
      <c r="AM2" s="9" t="str">
        <f t="shared" ref="AM2:AM65" si="6">IMDIV(IMSUM(1,IMDIV(AA2,wz2e)),IMSUM(1,IMDIV(AA2,wp2e)))</f>
        <v>0.999999999932927-7.57838941862118E-06i</v>
      </c>
      <c r="AN2" s="9" t="str">
        <f>IMPRODUCT($AK$2,AL2,AM2)</f>
        <v>-457.968266422896+284.745257918948i</v>
      </c>
      <c r="AO2" s="9">
        <f>IMABS(AN2)</f>
        <v>539.27246819925915</v>
      </c>
      <c r="AP2" s="9">
        <f>IMARGUMENT(AN2)</f>
        <v>2.5853283380635124</v>
      </c>
      <c r="AQ2" s="9">
        <f>AP2/(PI())*180</f>
        <v>148.12840242661056</v>
      </c>
      <c r="AR2" s="9">
        <f>20*LOG(AO2,10)</f>
        <v>54.636164971149668</v>
      </c>
      <c r="AS2" s="9">
        <f>AR2+AJ2</f>
        <v>80.139419748972813</v>
      </c>
      <c r="AT2" s="9">
        <f>AQ2+AI2</f>
        <v>148.0399728701662</v>
      </c>
    </row>
    <row r="3" spans="1:46" x14ac:dyDescent="0.25">
      <c r="A3" t="s">
        <v>104</v>
      </c>
      <c r="B3" s="2">
        <v>666</v>
      </c>
      <c r="C3" t="s">
        <v>92</v>
      </c>
      <c r="E3" t="s">
        <v>91</v>
      </c>
      <c r="F3" s="2">
        <v>220000</v>
      </c>
      <c r="G3" t="s">
        <v>92</v>
      </c>
      <c r="S3" s="9" t="s">
        <v>8</v>
      </c>
      <c r="T3" s="9">
        <f>1/('2. Design Parameters'!C$7*1000)</f>
        <v>2.2222222222222221E-6</v>
      </c>
      <c r="U3" s="9" t="s">
        <v>19</v>
      </c>
      <c r="V3" s="9" t="s">
        <v>10</v>
      </c>
      <c r="W3" s="9">
        <f>1/(PI()*(T7*T2-0.5))</f>
        <v>0.23670122369817545</v>
      </c>
      <c r="Y3" s="9">
        <v>1</v>
      </c>
      <c r="Z3" s="9">
        <f t="shared" ref="Z3:Z66" si="7">10^(LOG($F$3/$F$2,10)*Y3/200)</f>
        <v>1.0634378492473788</v>
      </c>
      <c r="AA3" s="9" t="str">
        <f>IMPRODUCT(COMPLEX(0,1),2*PI()*Z3)</f>
        <v>6.68177706948979i</v>
      </c>
      <c r="AB3" s="9">
        <f>(Assumed_Efficiency/100)*Rout/'4. Current Sense Resistor'!$B$11</f>
        <v>135.14141414141415</v>
      </c>
      <c r="AD3" s="9" t="str">
        <f t="shared" si="0"/>
        <v>0.999997557588034-0.00155241448309454i</v>
      </c>
      <c r="AE3" s="9" t="str">
        <f t="shared" ref="AE3:AE66" si="8">IMDIV(IMSUM(1,IMDIV(IMPRODUCT(-1,AA3),$W$5)),IMSUM(1,IMDIV(AA3,$W$2*$W$3),IMDIV(IMPOWER(AA3,2),$W$2^2)))</f>
        <v>0.999999998247628-0.0000888788847228605i</v>
      </c>
      <c r="AF3" s="9" t="str">
        <f t="shared" si="1"/>
        <v>18.843522555115-0.030927824314245i</v>
      </c>
      <c r="AG3" s="9">
        <f t="shared" ref="AG3:AG56" si="9">IMABS(AF3)</f>
        <v>18.84354793597651</v>
      </c>
      <c r="AH3" s="9">
        <f t="shared" si="2"/>
        <v>-1.6412959122752513E-3</v>
      </c>
      <c r="AI3" s="9">
        <f t="shared" si="3"/>
        <v>-9.403932870544611E-2</v>
      </c>
      <c r="AJ3" s="9">
        <f t="shared" si="4"/>
        <v>25.503253535962152</v>
      </c>
      <c r="AL3" s="9" t="str">
        <f t="shared" si="5"/>
        <v>0.695481590929482-0.459817903767611i</v>
      </c>
      <c r="AM3" s="9" t="str">
        <f t="shared" si="6"/>
        <v>0.999999999924147-8.05914614401497E-06i</v>
      </c>
      <c r="AN3" s="9" t="str">
        <f t="shared" ref="AN3:AN66" si="10">IMPRODUCT($AK$2,AL3,AM3)</f>
        <v>-441.833009381179+292.123170245974i</v>
      </c>
      <c r="AO3" s="9">
        <f t="shared" ref="AO3:AO66" si="11">IMABS(AN3)</f>
        <v>529.67193126820246</v>
      </c>
      <c r="AP3" s="9">
        <f t="shared" ref="AP3:AP66" si="12">IMARGUMENT(AN3)</f>
        <v>2.5574107020730823</v>
      </c>
      <c r="AQ3" s="9">
        <f t="shared" ref="AQ3:AQ66" si="13">AP3/(PI())*180</f>
        <v>146.52883971037639</v>
      </c>
      <c r="AR3" s="9">
        <f t="shared" ref="AR3:AR66" si="14">20*LOG(AO3,10)</f>
        <v>54.480139182392492</v>
      </c>
      <c r="AS3" s="9">
        <f t="shared" ref="AS3:AS66" si="15">AR3+AJ3</f>
        <v>79.983392718354651</v>
      </c>
      <c r="AT3" s="9">
        <f t="shared" ref="AT3:AT66" si="16">AQ3+AI3</f>
        <v>146.43480038167095</v>
      </c>
    </row>
    <row r="4" spans="1:46" x14ac:dyDescent="0.25">
      <c r="A4" t="s">
        <v>103</v>
      </c>
      <c r="B4" s="2">
        <v>10000</v>
      </c>
      <c r="C4" t="s">
        <v>92</v>
      </c>
      <c r="E4" t="str">
        <f>IF(OR(B1&lt;F2,(B1&gt;F3)),"Crossover frequency needs to be on the graph","")</f>
        <v/>
      </c>
      <c r="S4" s="9" t="s">
        <v>126</v>
      </c>
      <c r="T4" s="9">
        <f>'2. Design Parameters'!C$5/'2. Design Parameters'!C$4</f>
        <v>2.6153846153846154</v>
      </c>
      <c r="V4" s="9" t="s">
        <v>11</v>
      </c>
      <c r="W4" s="9">
        <f>1/('5. Output Capacitors'!C15*'5. Output Capacitors'!C14)</f>
        <v>320000</v>
      </c>
      <c r="Y4" s="9">
        <v>2</v>
      </c>
      <c r="Z4" s="9">
        <f t="shared" si="7"/>
        <v>1.1309000592118907</v>
      </c>
      <c r="AA4" s="9" t="str">
        <f t="shared" ref="AA4:AA67" si="17">IMPRODUCT(COMPLEX(0,1),2*PI()*Z4)</f>
        <v>7.10565463592868i</v>
      </c>
      <c r="AB4" s="9">
        <f>(Assumed_Efficiency/100)*Rout/'4. Current Sense Resistor'!$B$11</f>
        <v>135.14141414141415</v>
      </c>
      <c r="AD4" s="9" t="str">
        <f t="shared" si="0"/>
        <v>0.999997237877058-0.00165089578413232i</v>
      </c>
      <c r="AE4" s="9" t="str">
        <f t="shared" si="8"/>
        <v>0.999999998018242-0.00009451717000859i</v>
      </c>
      <c r="AF4" s="9" t="str">
        <f t="shared" si="1"/>
        <v>18.8435161859599-0.0328898083143819i</v>
      </c>
      <c r="AG4" s="9">
        <f t="shared" si="9"/>
        <v>18.843544889166253</v>
      </c>
      <c r="AH4" s="9">
        <f t="shared" si="2"/>
        <v>-1.7454160142114062E-3</v>
      </c>
      <c r="AI4" s="9">
        <f t="shared" si="3"/>
        <v>-0.10000497110885968</v>
      </c>
      <c r="AJ4" s="9">
        <f t="shared" si="4"/>
        <v>25.503252131541934</v>
      </c>
      <c r="AL4" s="9" t="str">
        <f t="shared" si="5"/>
        <v>0.668836175370224-0.470222169914615i</v>
      </c>
      <c r="AM4" s="9" t="str">
        <f t="shared" si="6"/>
        <v>0.999999999914218-8.57040104206221E-06i</v>
      </c>
      <c r="AN4" s="9" t="str">
        <f t="shared" si="10"/>
        <v>-424.905127615233+298.733020137656i</v>
      </c>
      <c r="AO4" s="9">
        <f t="shared" si="11"/>
        <v>519.40907269153729</v>
      </c>
      <c r="AP4" s="9">
        <f t="shared" si="12"/>
        <v>2.5288171756344413</v>
      </c>
      <c r="AQ4" s="9">
        <f t="shared" si="13"/>
        <v>144.89055132404653</v>
      </c>
      <c r="AR4" s="9">
        <f t="shared" si="14"/>
        <v>54.310190626522505</v>
      </c>
      <c r="AS4" s="9">
        <f t="shared" si="15"/>
        <v>79.81344275806444</v>
      </c>
      <c r="AT4" s="9">
        <f t="shared" si="16"/>
        <v>144.79054635293767</v>
      </c>
    </row>
    <row r="5" spans="1:46" x14ac:dyDescent="0.25">
      <c r="A5" t="s">
        <v>109</v>
      </c>
      <c r="B5" s="3">
        <f>B4/(B2*(B4-B3)*gm)*(Vout/1.2)*SQRT(1+(B1/B4)^2)/SQRT(1+(B3/B1)^2)</f>
        <v>4549.1781543102506</v>
      </c>
      <c r="C5" s="1" t="s">
        <v>41</v>
      </c>
      <c r="S5" s="9" t="s">
        <v>14</v>
      </c>
      <c r="T5" s="9">
        <f>1/(1-D_)</f>
        <v>3.0257982710698066</v>
      </c>
      <c r="V5" s="9" t="s">
        <v>12</v>
      </c>
      <c r="W5" s="9">
        <f>Dp^2/Lo*(Rout-rCf*Rout/(rCf+Rout))-rL/Lo</f>
        <v>96962.224200318247</v>
      </c>
      <c r="Y5" s="9">
        <v>3</v>
      </c>
      <c r="Z5" s="9">
        <f t="shared" si="7"/>
        <v>1.2026419266820265</v>
      </c>
      <c r="AA5" s="9" t="str">
        <f t="shared" si="17"/>
        <v>7.55642208352666i</v>
      </c>
      <c r="AB5" s="9">
        <f>(Assumed_Efficiency/100)*Rout/'4. Current Sense Resistor'!$B$11</f>
        <v>135.14141414141415</v>
      </c>
      <c r="AD5" s="9" t="str">
        <f t="shared" si="0"/>
        <v>0.999996876316146-0.00175562441870423i</v>
      </c>
      <c r="AE5" s="9" t="str">
        <f t="shared" si="8"/>
        <v>0.99999999775883-0.000100513135985358i</v>
      </c>
      <c r="AF5" s="9" t="str">
        <f t="shared" si="1"/>
        <v>18.8435089830869-0.0349762542003491i</v>
      </c>
      <c r="AG5" s="9">
        <f t="shared" si="9"/>
        <v>18.84354144353005</v>
      </c>
      <c r="AH5" s="9">
        <f t="shared" si="2"/>
        <v>-1.8561412348570437E-3</v>
      </c>
      <c r="AI5" s="9">
        <f t="shared" si="3"/>
        <v>-0.10634905893750952</v>
      </c>
      <c r="AJ5" s="9">
        <f t="shared" si="4"/>
        <v>25.503250543283528</v>
      </c>
      <c r="AL5" s="9" t="str">
        <f t="shared" si="5"/>
        <v>0.641064565668462-0.479252550177621i</v>
      </c>
      <c r="AM5" s="9" t="str">
        <f t="shared" si="6"/>
        <v>0.999999999902989-9.11408885123855E-06i</v>
      </c>
      <c r="AN5" s="9" t="str">
        <f t="shared" si="10"/>
        <v>-407.261772628484+304.470037810931i</v>
      </c>
      <c r="AO5" s="9">
        <f t="shared" si="11"/>
        <v>508.49204061527325</v>
      </c>
      <c r="AP5" s="9">
        <f t="shared" si="12"/>
        <v>2.499627524857293</v>
      </c>
      <c r="AQ5" s="9">
        <f t="shared" si="13"/>
        <v>143.21810752905517</v>
      </c>
      <c r="AR5" s="9">
        <f t="shared" si="14"/>
        <v>54.125683186712337</v>
      </c>
      <c r="AS5" s="9">
        <f t="shared" si="15"/>
        <v>79.628933729995865</v>
      </c>
      <c r="AT5" s="9">
        <f t="shared" si="16"/>
        <v>143.11175847011768</v>
      </c>
    </row>
    <row r="6" spans="1:46" x14ac:dyDescent="0.25">
      <c r="A6" t="s">
        <v>110</v>
      </c>
      <c r="B6" s="3">
        <f>1/(B5*B3*2*PI())*10^9</f>
        <v>52.53067211655506</v>
      </c>
      <c r="C6" t="s">
        <v>100</v>
      </c>
      <c r="S6" s="9" t="s">
        <v>16</v>
      </c>
      <c r="T6" s="9">
        <f>('2. Design Parameters'!C$4-IavgL*(rL+Rsw_eq))/'3. Boost Inductor'!B$12*Ri</f>
        <v>11567.210889979926</v>
      </c>
      <c r="U6" s="9" t="s">
        <v>46</v>
      </c>
      <c r="V6" s="9" t="s">
        <v>13</v>
      </c>
      <c r="W6" s="9">
        <f>(2/Rout+Tsw/(Lo*M_IC^3)*mc)/('5. Output Capacitors'!B$2*10^-6)</f>
        <v>4246.9852094435118</v>
      </c>
      <c r="Y6" s="9">
        <v>4</v>
      </c>
      <c r="Z6" s="9">
        <f t="shared" si="7"/>
        <v>1.278934943925458</v>
      </c>
      <c r="AA6" s="9" t="str">
        <f t="shared" si="17"/>
        <v>8.03578524851099i</v>
      </c>
      <c r="AB6" s="9">
        <f>(Assumed_Efficiency/100)*Rout/'4. Current Sense Resistor'!$B$11</f>
        <v>135.14141414141415</v>
      </c>
      <c r="AD6" s="9" t="str">
        <f t="shared" si="0"/>
        <v>0.999996467427208-0.00186699668224804i</v>
      </c>
      <c r="AE6" s="9" t="str">
        <f t="shared" si="8"/>
        <v>0.999999997465461-0.000106889473146733i</v>
      </c>
      <c r="AF6" s="9" t="str">
        <f t="shared" si="1"/>
        <v>18.8435008373638-0.0371950571289161i</v>
      </c>
      <c r="AG6" s="9">
        <f t="shared" si="9"/>
        <v>18.843537546862184</v>
      </c>
      <c r="AH6" s="9">
        <f t="shared" si="2"/>
        <v>-1.9738905813162437E-3</v>
      </c>
      <c r="AI6" s="9">
        <f t="shared" si="3"/>
        <v>-0.1130955995300454</v>
      </c>
      <c r="AJ6" s="9">
        <f t="shared" si="4"/>
        <v>25.503248747122726</v>
      </c>
      <c r="AL6" s="9" t="str">
        <f t="shared" si="5"/>
        <v>0.612316312246026-0.486758464875572i</v>
      </c>
      <c r="AM6" s="9" t="str">
        <f t="shared" si="6"/>
        <v>0.99999999989029-9.69226704566691E-06i</v>
      </c>
      <c r="AN6" s="9" t="str">
        <f t="shared" si="10"/>
        <v>-388.997954080404+309.238559717538i</v>
      </c>
      <c r="AO6" s="9">
        <f t="shared" si="11"/>
        <v>496.93852245012903</v>
      </c>
      <c r="AP6" s="9">
        <f t="shared" si="12"/>
        <v>2.4699312711348629</v>
      </c>
      <c r="AQ6" s="9">
        <f t="shared" si="13"/>
        <v>141.51663752341025</v>
      </c>
      <c r="AR6" s="9">
        <f t="shared" si="14"/>
        <v>53.926053287257162</v>
      </c>
      <c r="AS6" s="9">
        <f t="shared" si="15"/>
        <v>79.429302034379887</v>
      </c>
      <c r="AT6" s="9">
        <f t="shared" si="16"/>
        <v>141.4035419238802</v>
      </c>
    </row>
    <row r="7" spans="1:46" x14ac:dyDescent="0.25">
      <c r="A7" t="s">
        <v>111</v>
      </c>
      <c r="B7" s="3">
        <f>(1.2/Vout)*gm/(2*PI()*B4)/10^-9</f>
        <v>3.3703399713577835</v>
      </c>
      <c r="C7" t="s">
        <v>100</v>
      </c>
      <c r="S7" s="9" t="s">
        <v>15</v>
      </c>
      <c r="T7" s="9">
        <f>1+(T$9/T$6)</f>
        <v>5.5819169810339631</v>
      </c>
      <c r="Y7" s="9">
        <v>5</v>
      </c>
      <c r="Z7" s="9">
        <f t="shared" si="7"/>
        <v>1.3600678260954062</v>
      </c>
      <c r="AA7" s="9" t="str">
        <f t="shared" si="17"/>
        <v>8.54555818169034i</v>
      </c>
      <c r="AB7" s="9">
        <f>(Assumed_Efficiency/100)*Rout/'4. Current Sense Resistor'!$B$11</f>
        <v>135.14141414141415</v>
      </c>
      <c r="AD7" s="9" t="str">
        <f t="shared" si="0"/>
        <v>0.999996005015093-0.00198543400588073i</v>
      </c>
      <c r="AE7" s="9" t="str">
        <f t="shared" si="8"/>
        <v>0.999999997133689-0.000113670311422356i</v>
      </c>
      <c r="AF7" s="9" t="str">
        <f t="shared" si="1"/>
        <v>18.8434916253732-0.0395546130199457i</v>
      </c>
      <c r="AG7" s="9">
        <f t="shared" si="9"/>
        <v>18.843533140123192</v>
      </c>
      <c r="AH7" s="9">
        <f t="shared" si="2"/>
        <v>-2.0991096400988069E-3</v>
      </c>
      <c r="AI7" s="9">
        <f t="shared" si="3"/>
        <v>-0.12027012311288683</v>
      </c>
      <c r="AJ7" s="9">
        <f t="shared" si="4"/>
        <v>25.503246715845272</v>
      </c>
      <c r="AL7" s="9" t="str">
        <f t="shared" si="5"/>
        <v>0.582766840597922-0.492609392148433i</v>
      </c>
      <c r="AM7" s="9" t="str">
        <f t="shared" si="6"/>
        <v>0.999999999875929-0.0000103071236212024i</v>
      </c>
      <c r="AN7" s="9" t="str">
        <f t="shared" si="10"/>
        <v>-370.22512011229+312.955665080093i</v>
      </c>
      <c r="AO7" s="9">
        <f t="shared" si="11"/>
        <v>484.77612138788652</v>
      </c>
      <c r="AP7" s="9">
        <f t="shared" si="12"/>
        <v>2.4398266317621053</v>
      </c>
      <c r="AQ7" s="9">
        <f t="shared" si="13"/>
        <v>139.79176874358788</v>
      </c>
      <c r="AR7" s="9">
        <f t="shared" si="14"/>
        <v>53.710824392930334</v>
      </c>
      <c r="AS7" s="9">
        <f t="shared" si="15"/>
        <v>79.214071108775613</v>
      </c>
      <c r="AT7" s="9">
        <f t="shared" si="16"/>
        <v>139.67149862047501</v>
      </c>
    </row>
    <row r="8" spans="1:46" x14ac:dyDescent="0.25">
      <c r="A8" t="s">
        <v>105</v>
      </c>
      <c r="B8" s="2">
        <v>3000</v>
      </c>
      <c r="C8" s="1" t="s">
        <v>41</v>
      </c>
      <c r="D8" s="19" t="s">
        <v>142</v>
      </c>
      <c r="E8" s="20"/>
      <c r="F8" s="20"/>
      <c r="G8" s="20"/>
      <c r="H8" s="21"/>
      <c r="I8" s="21"/>
      <c r="J8" s="21"/>
      <c r="K8" s="21"/>
      <c r="L8" s="21"/>
      <c r="M8" s="21"/>
      <c r="N8" s="21"/>
      <c r="O8" s="21"/>
      <c r="P8" s="28"/>
      <c r="S8" s="9" t="s">
        <v>17</v>
      </c>
      <c r="T8" s="9">
        <f>'2. Design Parameters'!C$5/'2. Design Parameters'!D$6</f>
        <v>1.8888888888888888</v>
      </c>
      <c r="U8" s="10" t="s">
        <v>41</v>
      </c>
      <c r="Y8" s="9">
        <v>6</v>
      </c>
      <c r="Z8" s="9">
        <f t="shared" si="7"/>
        <v>1.4463476038134566</v>
      </c>
      <c r="AA8" s="9" t="str">
        <f t="shared" si="17"/>
        <v>9.08767001335511i</v>
      </c>
      <c r="AB8" s="9">
        <f>(Assumed_Efficiency/100)*Rout/'4. Current Sense Resistor'!$B$11</f>
        <v>135.14141414141415</v>
      </c>
      <c r="AD8" s="9" t="str">
        <f t="shared" si="0"/>
        <v>0.999995482073726-0.00211138455005004i</v>
      </c>
      <c r="AE8" s="9" t="str">
        <f t="shared" si="8"/>
        <v>0.999999996758489-0.000120881311492659i</v>
      </c>
      <c r="AF8" s="9" t="str">
        <f t="shared" si="1"/>
        <v>18.8434812075429-0.0420638503057608i</v>
      </c>
      <c r="AG8" s="9">
        <f t="shared" si="9"/>
        <v>18.843528156545553</v>
      </c>
      <c r="AH8" s="9">
        <f t="shared" si="2"/>
        <v>-2.2322722629559127E-3</v>
      </c>
      <c r="AI8" s="9">
        <f t="shared" si="3"/>
        <v>-0.1278997793914913</v>
      </c>
      <c r="AJ8" s="9">
        <f t="shared" si="4"/>
        <v>25.50324441867463</v>
      </c>
      <c r="AL8" s="9" t="str">
        <f t="shared" si="5"/>
        <v>0.552613841944078-0.496700161374339i</v>
      </c>
      <c r="AM8" s="9" t="str">
        <f t="shared" si="6"/>
        <v>0.999999999859688-0.0000109609853754504i</v>
      </c>
      <c r="AN8" s="9" t="str">
        <f t="shared" si="10"/>
        <v>-351.068864321648+315.554538809786i</v>
      </c>
      <c r="AO8" s="9">
        <f t="shared" si="11"/>
        <v>472.04238629549826</v>
      </c>
      <c r="AP8" s="9">
        <f t="shared" si="12"/>
        <v>2.4094191194092036</v>
      </c>
      <c r="AQ8" s="9">
        <f t="shared" si="13"/>
        <v>138.0495466202747</v>
      </c>
      <c r="AR8" s="9">
        <f t="shared" si="14"/>
        <v>53.479619943349292</v>
      </c>
      <c r="AS8" s="9">
        <f t="shared" si="15"/>
        <v>78.982864362023918</v>
      </c>
      <c r="AT8" s="9">
        <f t="shared" si="16"/>
        <v>137.9216468408832</v>
      </c>
    </row>
    <row r="9" spans="1:46" x14ac:dyDescent="0.25">
      <c r="A9" t="s">
        <v>106</v>
      </c>
      <c r="B9" s="2">
        <v>33</v>
      </c>
      <c r="C9" t="s">
        <v>100</v>
      </c>
      <c r="D9" s="22" t="s">
        <v>143</v>
      </c>
      <c r="E9" s="23"/>
      <c r="F9" s="23"/>
      <c r="G9" s="23"/>
      <c r="H9" s="24"/>
      <c r="I9" s="24"/>
      <c r="J9" s="24"/>
      <c r="K9" s="24"/>
      <c r="L9" s="24"/>
      <c r="M9" s="24"/>
      <c r="N9" s="24"/>
      <c r="O9" s="24"/>
      <c r="P9" s="29"/>
      <c r="S9" s="9" t="s">
        <v>127</v>
      </c>
      <c r="T9" s="9">
        <f>SC_nom/0.001</f>
        <v>53000</v>
      </c>
      <c r="U9" s="9" t="s">
        <v>46</v>
      </c>
      <c r="Y9" s="9">
        <v>7</v>
      </c>
      <c r="Z9" s="9">
        <f t="shared" si="7"/>
        <v>1.5381007850634825</v>
      </c>
      <c r="AA9" s="9" t="str">
        <f t="shared" si="17"/>
        <v>9.66417225367226i</v>
      </c>
      <c r="AB9" s="9">
        <f>(Assumed_Efficiency/100)*Rout/'4. Current Sense Resistor'!$B$11</f>
        <v>135.14141414141415</v>
      </c>
      <c r="AD9" s="9" t="str">
        <f t="shared" si="0"/>
        <v>0.999994890679972-0.00224532489910095i</v>
      </c>
      <c r="AE9" s="9" t="str">
        <f t="shared" si="8"/>
        <v>0.999999996334175-0.000128549761896396i</v>
      </c>
      <c r="AF9" s="9" t="str">
        <f t="shared" si="1"/>
        <v>18.8434694260313-0.0447322636909793i</v>
      </c>
      <c r="AG9" s="9">
        <f t="shared" si="9"/>
        <v>18.843522520622077</v>
      </c>
      <c r="AH9" s="9">
        <f t="shared" si="2"/>
        <v>-2.3738823595997132E-3</v>
      </c>
      <c r="AI9" s="9">
        <f t="shared" si="3"/>
        <v>-0.13601344026562076</v>
      </c>
      <c r="AJ9" s="9">
        <f t="shared" si="4"/>
        <v>25.503241820805684</v>
      </c>
      <c r="AL9" s="9" t="str">
        <f t="shared" si="5"/>
        <v>0.522072397063945-0.498955436255416i</v>
      </c>
      <c r="AM9" s="9" t="str">
        <f t="shared" si="6"/>
        <v>0.999999999841322-0.000011656326713051i</v>
      </c>
      <c r="AN9" s="9" t="str">
        <f t="shared" si="10"/>
        <v>-331.665827925297+316.987319619109i</v>
      </c>
      <c r="AO9" s="9">
        <f t="shared" si="11"/>
        <v>458.78446160771381</v>
      </c>
      <c r="AP9" s="9">
        <f t="shared" si="12"/>
        <v>2.3788198387351933</v>
      </c>
      <c r="AQ9" s="9">
        <f t="shared" si="13"/>
        <v>136.2963369815177</v>
      </c>
      <c r="AR9" s="9">
        <f t="shared" si="14"/>
        <v>53.232174010552207</v>
      </c>
      <c r="AS9" s="9">
        <f t="shared" si="15"/>
        <v>78.735415831357898</v>
      </c>
      <c r="AT9" s="9">
        <f t="shared" si="16"/>
        <v>136.16032354125207</v>
      </c>
    </row>
    <row r="10" spans="1:46" x14ac:dyDescent="0.25">
      <c r="A10" t="s">
        <v>107</v>
      </c>
      <c r="B10" s="2">
        <v>0.47</v>
      </c>
      <c r="C10" t="s">
        <v>100</v>
      </c>
      <c r="D10" s="25" t="s">
        <v>144</v>
      </c>
      <c r="E10" s="26"/>
      <c r="F10" s="26"/>
      <c r="G10" s="26"/>
      <c r="H10" s="27"/>
      <c r="I10" s="27"/>
      <c r="J10" s="27"/>
      <c r="K10" s="27"/>
      <c r="L10" s="27"/>
      <c r="M10" s="27"/>
      <c r="N10" s="27"/>
      <c r="O10" s="27"/>
      <c r="P10" s="30"/>
      <c r="S10" s="9" t="s">
        <v>33</v>
      </c>
      <c r="T10" s="9">
        <v>0.83</v>
      </c>
      <c r="Y10" s="9">
        <v>8</v>
      </c>
      <c r="Z10" s="9">
        <f t="shared" si="7"/>
        <v>1.6356745907936145</v>
      </c>
      <c r="AA10" s="9" t="str">
        <f t="shared" si="17"/>
        <v>10.2772465562014i</v>
      </c>
      <c r="AB10" s="9">
        <f>(Assumed_Efficiency/100)*Rout/'4. Current Sense Resistor'!$B$11</f>
        <v>135.14141414141415</v>
      </c>
      <c r="AD10" s="9" t="str">
        <f t="shared" si="0"/>
        <v>0.999994221873594-0.00238776186312213i</v>
      </c>
      <c r="AE10" s="9" t="str">
        <f t="shared" si="8"/>
        <v>0.999999995854318-0.000136704682298464i</v>
      </c>
      <c r="AF10" s="9" t="str">
        <f t="shared" si="1"/>
        <v>18.8434561023361-0.0475699500496233i</v>
      </c>
      <c r="AG10" s="9">
        <f t="shared" si="9"/>
        <v>18.843516146961935</v>
      </c>
      <c r="AH10" s="9">
        <f t="shared" si="2"/>
        <v>-2.5244758040750223E-3</v>
      </c>
      <c r="AI10" s="9">
        <f t="shared" si="3"/>
        <v>-0.14464180905639368</v>
      </c>
      <c r="AJ10" s="9">
        <f t="shared" si="4"/>
        <v>25.50323888287739</v>
      </c>
      <c r="AL10" s="9" t="str">
        <f t="shared" si="5"/>
        <v>0.49136905972205-0.499333043092872i</v>
      </c>
      <c r="AM10" s="9" t="str">
        <f t="shared" si="6"/>
        <v>0.999999999820551-0.000012395779009551i</v>
      </c>
      <c r="AN10" s="9" t="str">
        <f t="shared" si="10"/>
        <v>-312.159940948686+317.227214481169i</v>
      </c>
      <c r="AO10" s="9">
        <f t="shared" si="11"/>
        <v>445.05834936620249</v>
      </c>
      <c r="AP10" s="9">
        <f t="shared" si="12"/>
        <v>2.3481435409393336</v>
      </c>
      <c r="AQ10" s="9">
        <f t="shared" si="13"/>
        <v>134.53871458672847</v>
      </c>
      <c r="AR10" s="9">
        <f t="shared" si="14"/>
        <v>52.968339057665304</v>
      </c>
      <c r="AS10" s="9">
        <f t="shared" si="15"/>
        <v>78.471577940542687</v>
      </c>
      <c r="AT10" s="9">
        <f t="shared" si="16"/>
        <v>134.39407277767208</v>
      </c>
    </row>
    <row r="11" spans="1:46" x14ac:dyDescent="0.25">
      <c r="S11" s="9" t="s">
        <v>123</v>
      </c>
      <c r="T11" s="9">
        <f>Ri+Rfet</f>
        <v>3.1E-2</v>
      </c>
      <c r="U11" s="10" t="s">
        <v>41</v>
      </c>
      <c r="Y11" s="9">
        <v>9</v>
      </c>
      <c r="Z11" s="9">
        <f t="shared" si="7"/>
        <v>1.7394382689021479</v>
      </c>
      <c r="AA11" s="9" t="str">
        <f t="shared" si="17"/>
        <v>10.9292129739119i</v>
      </c>
      <c r="AB11" s="9">
        <f>(Assumed_Efficiency/100)*Rout/'4. Current Sense Resistor'!$B$11</f>
        <v>135.14141414141415</v>
      </c>
      <c r="AD11" s="9" t="str">
        <f t="shared" si="0"/>
        <v>0.999993465521514-0.0025392343938333i</v>
      </c>
      <c r="AE11" s="9" t="str">
        <f t="shared" si="8"/>
        <v>0.999999995311648-0.000145376933308808i</v>
      </c>
      <c r="AF11" s="9" t="str">
        <f t="shared" si="1"/>
        <v>18.8434410345902-0.0505876465941986i</v>
      </c>
      <c r="AG11" s="9">
        <f t="shared" si="9"/>
        <v>18.843508938997154</v>
      </c>
      <c r="AH11" s="9">
        <f t="shared" si="2"/>
        <v>-2.6846224619778373E-3</v>
      </c>
      <c r="AI11" s="9">
        <f t="shared" si="3"/>
        <v>-0.1538175366573504</v>
      </c>
      <c r="AJ11" s="9">
        <f t="shared" si="4"/>
        <v>25.503235560376535</v>
      </c>
      <c r="AL11" s="9" t="str">
        <f t="shared" si="5"/>
        <v>0.460735230132113-0.497825875963121i</v>
      </c>
      <c r="AM11" s="9" t="str">
        <f t="shared" si="6"/>
        <v>0.999999999797061-0.0000131821405693012i</v>
      </c>
      <c r="AN11" s="9" t="str">
        <f t="shared" si="10"/>
        <v>-292.698212375395+316.26970899162i</v>
      </c>
      <c r="AO11" s="9">
        <f t="shared" si="11"/>
        <v>430.92780410806154</v>
      </c>
      <c r="AP11" s="9">
        <f t="shared" si="12"/>
        <v>2.3175065161135295</v>
      </c>
      <c r="AQ11" s="9">
        <f t="shared" si="13"/>
        <v>132.78334236737237</v>
      </c>
      <c r="AR11" s="9">
        <f t="shared" si="14"/>
        <v>52.688090326471126</v>
      </c>
      <c r="AS11" s="9">
        <f t="shared" si="15"/>
        <v>78.191325886847665</v>
      </c>
      <c r="AT11" s="9">
        <f t="shared" si="16"/>
        <v>132.62952483071501</v>
      </c>
    </row>
    <row r="12" spans="1:46" x14ac:dyDescent="0.25">
      <c r="A12" t="s">
        <v>93</v>
      </c>
      <c r="B12">
        <f>B8</f>
        <v>3000</v>
      </c>
      <c r="C12" s="1" t="s">
        <v>41</v>
      </c>
      <c r="D12" s="1"/>
      <c r="Y12" s="9">
        <v>10</v>
      </c>
      <c r="Z12" s="9">
        <f t="shared" si="7"/>
        <v>1.849784491579884</v>
      </c>
      <c r="AA12" s="9" t="str">
        <f t="shared" si="17"/>
        <v>11.6225387389434i</v>
      </c>
      <c r="AB12" s="9">
        <f>(Assumed_Efficiency/100)*Rout/'4. Current Sense Resistor'!$B$11</f>
        <v>135.14141414141415</v>
      </c>
      <c r="AD12" s="9" t="str">
        <f t="shared" si="0"/>
        <v>0.9999926101643-0.00270031562169436i</v>
      </c>
      <c r="AE12" s="9" t="str">
        <f t="shared" si="8"/>
        <v>0.999999994697942-0.000154599333267992i</v>
      </c>
      <c r="AF12" s="9" t="str">
        <f t="shared" si="1"/>
        <v>18.8434239945034-0.0537967714598013i</v>
      </c>
      <c r="AG12" s="9">
        <f t="shared" si="9"/>
        <v>18.843500787519449</v>
      </c>
      <c r="AH12" s="9">
        <f t="shared" si="2"/>
        <v>-2.8549283461686524E-3</v>
      </c>
      <c r="AI12" s="9">
        <f t="shared" si="3"/>
        <v>-0.16357534504772789</v>
      </c>
      <c r="AJ12" s="9">
        <f t="shared" si="4"/>
        <v>25.503231802963235</v>
      </c>
      <c r="AL12" s="9" t="str">
        <f t="shared" si="5"/>
        <v>0.430400223033907-0.494462220667563i</v>
      </c>
      <c r="AM12" s="9" t="str">
        <f t="shared" si="6"/>
        <v>0.999999999770496-0.0000140183872150593i</v>
      </c>
      <c r="AN12" s="9" t="str">
        <f t="shared" si="10"/>
        <v>-273.426326283551+314.13277317456i</v>
      </c>
      <c r="AO12" s="9">
        <f t="shared" si="11"/>
        <v>416.46290961772149</v>
      </c>
      <c r="AP12" s="9">
        <f t="shared" si="12"/>
        <v>2.2870244165338667</v>
      </c>
      <c r="AQ12" s="9">
        <f t="shared" si="13"/>
        <v>131.03684671076019</v>
      </c>
      <c r="AR12" s="9">
        <f t="shared" si="14"/>
        <v>52.391526579891725</v>
      </c>
      <c r="AS12" s="9">
        <f t="shared" si="15"/>
        <v>77.89475838285496</v>
      </c>
      <c r="AT12" s="9">
        <f t="shared" si="16"/>
        <v>130.87327136571247</v>
      </c>
    </row>
    <row r="13" spans="1:46" x14ac:dyDescent="0.25">
      <c r="A13" t="s">
        <v>94</v>
      </c>
      <c r="B13">
        <f>B9</f>
        <v>33</v>
      </c>
      <c r="C13" t="s">
        <v>100</v>
      </c>
      <c r="Y13" s="9">
        <v>11</v>
      </c>
      <c r="Z13" s="9">
        <f t="shared" si="7"/>
        <v>1.967130841296868</v>
      </c>
      <c r="AA13" s="9" t="str">
        <f t="shared" si="17"/>
        <v>12.3598475993363i</v>
      </c>
      <c r="AB13" s="9">
        <f>(Assumed_Efficiency/100)*Rout/'4. Current Sense Resistor'!$B$11</f>
        <v>135.14141414141415</v>
      </c>
      <c r="AD13" s="9" t="str">
        <f t="shared" si="0"/>
        <v>0.999991642842561-0.00287161502186224i</v>
      </c>
      <c r="AE13" s="9" t="str">
        <f t="shared" si="8"/>
        <v>0.999999994003903-0.000164406782441412i</v>
      </c>
      <c r="AF13" s="9" t="str">
        <f t="shared" si="1"/>
        <v>18.8434047239037-0.0572094668551834i</v>
      </c>
      <c r="AG13" s="9">
        <f t="shared" si="9"/>
        <v>18.843491569025474</v>
      </c>
      <c r="AH13" s="9">
        <f t="shared" si="2"/>
        <v>-3.0360379091107976E-3</v>
      </c>
      <c r="AI13" s="9">
        <f t="shared" si="3"/>
        <v>-0.17395215863377173</v>
      </c>
      <c r="AJ13" s="9">
        <f t="shared" si="4"/>
        <v>25.503227553708186</v>
      </c>
      <c r="AL13" s="9" t="str">
        <f t="shared" si="5"/>
        <v>0.400584467576338-0.489304470248345i</v>
      </c>
      <c r="AM13" s="9" t="str">
        <f t="shared" si="6"/>
        <v>0.999999999740454-0.0000149076835493766i</v>
      </c>
      <c r="AN13" s="9" t="str">
        <f t="shared" si="10"/>
        <v>-254.484321718976+310.856045447324i</v>
      </c>
      <c r="AO13" s="9">
        <f t="shared" si="11"/>
        <v>401.73841114824467</v>
      </c>
      <c r="AP13" s="9">
        <f t="shared" si="12"/>
        <v>2.2568101098006439</v>
      </c>
      <c r="AQ13" s="9">
        <f t="shared" si="13"/>
        <v>129.30569445403279</v>
      </c>
      <c r="AR13" s="9">
        <f t="shared" si="14"/>
        <v>52.078867152542827</v>
      </c>
      <c r="AS13" s="9">
        <f t="shared" si="15"/>
        <v>77.582094706251013</v>
      </c>
      <c r="AT13" s="9">
        <f t="shared" si="16"/>
        <v>129.13174229539902</v>
      </c>
    </row>
    <row r="14" spans="1:46" x14ac:dyDescent="0.25">
      <c r="A14" t="s">
        <v>95</v>
      </c>
      <c r="B14">
        <f>B10</f>
        <v>0.47</v>
      </c>
      <c r="C14" t="s">
        <v>100</v>
      </c>
      <c r="S14" s="14" t="s">
        <v>130</v>
      </c>
      <c r="Y14" s="9">
        <v>12</v>
      </c>
      <c r="Z14" s="9">
        <f t="shared" si="7"/>
        <v>2.0919213910569279</v>
      </c>
      <c r="AA14" s="9" t="str">
        <f t="shared" si="17"/>
        <v>13.1439297480636i</v>
      </c>
      <c r="AB14" s="9">
        <f>(Assumed_Efficiency/100)*Rout/'4. Current Sense Resistor'!$B$11</f>
        <v>135.14141414141415</v>
      </c>
      <c r="AD14" s="9" t="str">
        <f t="shared" si="0"/>
        <v>0.999990548900636-0.00305378071709147i</v>
      </c>
      <c r="AE14" s="9" t="str">
        <f t="shared" si="8"/>
        <v>0.999999993219013-0.000174836395092096i</v>
      </c>
      <c r="AF14" s="9" t="str">
        <f t="shared" si="1"/>
        <v>18.8433829308269-0.0608386449420641i</v>
      </c>
      <c r="AG14" s="9">
        <f t="shared" si="9"/>
        <v>18.843481143846454</v>
      </c>
      <c r="AH14" s="9">
        <f t="shared" si="2"/>
        <v>-3.2286364804740082E-3</v>
      </c>
      <c r="AI14" s="9">
        <f t="shared" si="3"/>
        <v>-0.1849872439131329</v>
      </c>
      <c r="AJ14" s="9">
        <f t="shared" si="4"/>
        <v>25.503222748230435</v>
      </c>
      <c r="AL14" s="9" t="str">
        <f t="shared" si="5"/>
        <v>0.371493262068844-0.482446339406018i</v>
      </c>
      <c r="AM14" s="9" t="str">
        <f t="shared" si="6"/>
        <v>0.999999999706479-0.0000158533949303805i</v>
      </c>
      <c r="AN14" s="9" t="str">
        <f t="shared" si="10"/>
        <v>-236.002625077205+306.499062934889i</v>
      </c>
      <c r="AO14" s="9">
        <f t="shared" si="11"/>
        <v>386.83189452693387</v>
      </c>
      <c r="AP14" s="9">
        <f t="shared" si="12"/>
        <v>2.2269716582413164</v>
      </c>
      <c r="AQ14" s="9">
        <f t="shared" si="13"/>
        <v>127.59607711247779</v>
      </c>
      <c r="AR14" s="9">
        <f t="shared" si="14"/>
        <v>51.750445494672093</v>
      </c>
      <c r="AS14" s="9">
        <f t="shared" si="15"/>
        <v>77.253668242902535</v>
      </c>
      <c r="AT14" s="9">
        <f t="shared" si="16"/>
        <v>127.41108986856466</v>
      </c>
    </row>
    <row r="15" spans="1:46" x14ac:dyDescent="0.25">
      <c r="S15" s="9" t="s">
        <v>128</v>
      </c>
      <c r="T15" s="9">
        <f>1*10^-12</f>
        <v>9.9999999999999998E-13</v>
      </c>
      <c r="U15" s="9" t="s">
        <v>129</v>
      </c>
      <c r="Y15" s="9">
        <v>13</v>
      </c>
      <c r="Z15" s="9">
        <f t="shared" si="7"/>
        <v>2.2246283849001642</v>
      </c>
      <c r="AA15" s="9" t="str">
        <f t="shared" si="17"/>
        <v>13.9777523819394i</v>
      </c>
      <c r="AB15" s="9">
        <f>(Assumed_Efficiency/100)*Rout/'4. Current Sense Resistor'!$B$11</f>
        <v>135.14141414141415</v>
      </c>
      <c r="AD15" s="9" t="str">
        <f t="shared" si="0"/>
        <v>0.999989311764571-0.00324750192617291i</v>
      </c>
      <c r="AE15" s="9" t="str">
        <f t="shared" si="8"/>
        <v>0.999999992331381-0.00018592763993193i</v>
      </c>
      <c r="AF15" s="9" t="str">
        <f t="shared" si="1"/>
        <v>18.8433582850933-0.0646980366139135i</v>
      </c>
      <c r="AG15" s="9">
        <f t="shared" si="9"/>
        <v>18.843469354031811</v>
      </c>
      <c r="AH15" s="9">
        <f t="shared" si="2"/>
        <v>-3.4334528591878047E-3</v>
      </c>
      <c r="AI15" s="9">
        <f t="shared" si="3"/>
        <v>-0.19672235798858653</v>
      </c>
      <c r="AJ15" s="9">
        <f t="shared" si="4"/>
        <v>25.503217313721805</v>
      </c>
      <c r="AL15" s="9" t="str">
        <f t="shared" si="5"/>
        <v>0.343311448062778-0.474008805490219i</v>
      </c>
      <c r="AM15" s="9" t="str">
        <f t="shared" si="6"/>
        <v>0.999999999668057-0.0000168591002072767i</v>
      </c>
      <c r="AN15" s="9" t="str">
        <f t="shared" si="10"/>
        <v>-218.098666537539+301.138682773752i</v>
      </c>
      <c r="AO15" s="9">
        <f t="shared" si="11"/>
        <v>371.82191249059417</v>
      </c>
      <c r="AP15" s="9">
        <f t="shared" si="12"/>
        <v>2.1976105105607462</v>
      </c>
      <c r="AQ15" s="9">
        <f t="shared" si="13"/>
        <v>125.91380726872079</v>
      </c>
      <c r="AR15" s="9">
        <f t="shared" si="14"/>
        <v>51.406699607229065</v>
      </c>
      <c r="AS15" s="9">
        <f t="shared" si="15"/>
        <v>76.909916920950877</v>
      </c>
      <c r="AT15" s="9">
        <f t="shared" si="16"/>
        <v>125.7170849107322</v>
      </c>
    </row>
    <row r="16" spans="1:46" x14ac:dyDescent="0.25">
      <c r="S16" s="9" t="s">
        <v>131</v>
      </c>
      <c r="T16" s="9">
        <f>3*10^6</f>
        <v>3000000</v>
      </c>
      <c r="U16" s="10" t="s">
        <v>41</v>
      </c>
      <c r="Y16" s="9">
        <v>14</v>
      </c>
      <c r="Z16" s="9">
        <f t="shared" si="7"/>
        <v>2.365754025012901</v>
      </c>
      <c r="AA16" s="9" t="str">
        <f t="shared" si="17"/>
        <v>14.864470930362i</v>
      </c>
      <c r="AB16" s="9">
        <f>(Assumed_Efficiency/100)*Rout/'4. Current Sense Resistor'!$B$11</f>
        <v>135.14141414141415</v>
      </c>
      <c r="AD16" s="9" t="str">
        <f t="shared" si="0"/>
        <v>0.999987912691059-0.00345351156703126i</v>
      </c>
      <c r="AE16" s="9" t="str">
        <f t="shared" si="8"/>
        <v>0.999999991327559-0.000197722489482792i</v>
      </c>
      <c r="AF16" s="9" t="str">
        <f t="shared" si="1"/>
        <v>18.8433304133062-0.0688022433559105i</v>
      </c>
      <c r="AG16" s="9">
        <f t="shared" si="9"/>
        <v>18.843456020956488</v>
      </c>
      <c r="AH16" s="9">
        <f t="shared" si="2"/>
        <v>-3.6512620697044034E-3</v>
      </c>
      <c r="AI16" s="9">
        <f t="shared" si="3"/>
        <v>-0.2092019064902641</v>
      </c>
      <c r="AJ16" s="9">
        <f t="shared" si="4"/>
        <v>25.503211167843908</v>
      </c>
      <c r="AL16" s="9" t="str">
        <f t="shared" si="5"/>
        <v>0.316199274448171-0.46413509474203i</v>
      </c>
      <c r="AM16" s="9" t="str">
        <f t="shared" si="6"/>
        <v>0.999999999624606-0.0000179286052637625i</v>
      </c>
      <c r="AN16" s="9" t="str">
        <f t="shared" si="10"/>
        <v>-200.874252516079+294.865896862444i</v>
      </c>
      <c r="AO16" s="9">
        <f t="shared" si="11"/>
        <v>356.78615788226278</v>
      </c>
      <c r="AP16" s="9">
        <f t="shared" si="12"/>
        <v>2.1688199747200287</v>
      </c>
      <c r="AQ16" s="9">
        <f t="shared" si="13"/>
        <v>124.26423107512754</v>
      </c>
      <c r="AR16" s="9">
        <f t="shared" si="14"/>
        <v>51.048159936953688</v>
      </c>
      <c r="AS16" s="9">
        <f t="shared" si="15"/>
        <v>76.551371104797596</v>
      </c>
      <c r="AT16" s="9">
        <f t="shared" si="16"/>
        <v>124.05502916863728</v>
      </c>
    </row>
    <row r="17" spans="19:46" x14ac:dyDescent="0.25">
      <c r="S17" s="9" t="s">
        <v>136</v>
      </c>
      <c r="T17" s="9">
        <v>502</v>
      </c>
      <c r="U17" s="10" t="s">
        <v>41</v>
      </c>
      <c r="Y17" s="9">
        <v>15</v>
      </c>
      <c r="Z17" s="9">
        <f t="shared" si="7"/>
        <v>2.5158323722080485</v>
      </c>
      <c r="AA17" s="9" t="str">
        <f t="shared" si="17"/>
        <v>15.8074409963844i</v>
      </c>
      <c r="AB17" s="9">
        <f>(Assumed_Efficiency/100)*Rout/'4. Current Sense Resistor'!$B$11</f>
        <v>135.14141414141415</v>
      </c>
      <c r="AD17" s="9" t="str">
        <f t="shared" si="0"/>
        <v>0.999986330483522-0.00367258902415786i</v>
      </c>
      <c r="AE17" s="9" t="str">
        <f t="shared" si="8"/>
        <v>0.999999990192335-0.000210265578912834i</v>
      </c>
      <c r="AF17" s="9" t="str">
        <f t="shared" si="1"/>
        <v>18.8432988931957-0.0731667923788541i</v>
      </c>
      <c r="AG17" s="9">
        <f t="shared" si="9"/>
        <v>18.843440942614947</v>
      </c>
      <c r="AH17" s="9">
        <f t="shared" si="2"/>
        <v>-3.8828882928428642E-3</v>
      </c>
      <c r="AI17" s="9">
        <f t="shared" si="3"/>
        <v>-0.22247311150065338</v>
      </c>
      <c r="AJ17" s="9">
        <f t="shared" si="4"/>
        <v>25.503204217480729</v>
      </c>
      <c r="AL17" s="9" t="str">
        <f t="shared" si="5"/>
        <v>0.290289607555626-0.452985084448047i</v>
      </c>
      <c r="AM17" s="9" t="str">
        <f t="shared" si="6"/>
        <v>0.999999999575467-0.0000190659574206067i</v>
      </c>
      <c r="AN17" s="9" t="str">
        <f t="shared" si="10"/>
        <v>-184.413793238295+287.782275539671i</v>
      </c>
      <c r="AO17" s="9">
        <f t="shared" si="11"/>
        <v>341.79977362679415</v>
      </c>
      <c r="AP17" s="9">
        <f t="shared" si="12"/>
        <v>2.1406840195871526</v>
      </c>
      <c r="AQ17" s="9">
        <f t="shared" si="13"/>
        <v>122.6521595934443</v>
      </c>
      <c r="AR17" s="9">
        <f t="shared" si="14"/>
        <v>50.675435415051481</v>
      </c>
      <c r="AS17" s="9">
        <f t="shared" si="15"/>
        <v>76.17863963253221</v>
      </c>
      <c r="AT17" s="9">
        <f t="shared" si="16"/>
        <v>122.42968648194365</v>
      </c>
    </row>
    <row r="18" spans="19:46" x14ac:dyDescent="0.25">
      <c r="S18" s="9" t="s">
        <v>139</v>
      </c>
      <c r="T18" s="9">
        <v>1.1999999999999999E-3</v>
      </c>
      <c r="Y18" s="9">
        <v>16</v>
      </c>
      <c r="Z18" s="9">
        <f t="shared" si="7"/>
        <v>2.6754313669678584</v>
      </c>
      <c r="AA18" s="9" t="str">
        <f t="shared" si="17"/>
        <v>16.8102310552998i</v>
      </c>
      <c r="AB18" s="9">
        <f>(Assumed_Efficiency/100)*Rout/'4. Current Sense Resistor'!$B$11</f>
        <v>135.14141414141415</v>
      </c>
      <c r="AD18" s="9" t="str">
        <f t="shared" si="0"/>
        <v>0.999984541171039-0.00390556309064155i</v>
      </c>
      <c r="AE18" s="9" t="str">
        <f t="shared" si="8"/>
        <v>0.999999988908512-0.000223604374948985i</v>
      </c>
      <c r="AF18" s="9" t="str">
        <f t="shared" si="1"/>
        <v>18.8432632472228-0.0778081952314915i</v>
      </c>
      <c r="AG18" s="9">
        <f t="shared" si="9"/>
        <v>18.843423890561471</v>
      </c>
      <c r="AH18" s="9">
        <f t="shared" si="2"/>
        <v>-4.1292079822345656E-3</v>
      </c>
      <c r="AI18" s="9">
        <f t="shared" si="3"/>
        <v>-0.23658619011377122</v>
      </c>
      <c r="AJ18" s="9">
        <f t="shared" si="4"/>
        <v>25.503196357328115</v>
      </c>
      <c r="AL18" s="9" t="str">
        <f t="shared" si="5"/>
        <v>0.265686523866727-0.440729501705084i</v>
      </c>
      <c r="AM18" s="9" t="str">
        <f t="shared" si="6"/>
        <v>0.999999999519896-0.0000202754607518962i</v>
      </c>
      <c r="AN18" s="9" t="str">
        <f t="shared" si="10"/>
        <v>-168.783408685348+279.996282048817i</v>
      </c>
      <c r="AO18" s="9">
        <f t="shared" si="11"/>
        <v>326.93387253174899</v>
      </c>
      <c r="AP18" s="9">
        <f t="shared" si="12"/>
        <v>2.1132764295575499</v>
      </c>
      <c r="AQ18" s="9">
        <f t="shared" si="13"/>
        <v>121.08182035812324</v>
      </c>
      <c r="AR18" s="9">
        <f t="shared" si="14"/>
        <v>50.289198374381279</v>
      </c>
      <c r="AS18" s="9">
        <f t="shared" si="15"/>
        <v>75.792394731709393</v>
      </c>
      <c r="AT18" s="9">
        <f t="shared" si="16"/>
        <v>120.84523416800947</v>
      </c>
    </row>
    <row r="19" spans="19:46" x14ac:dyDescent="0.25">
      <c r="S19" s="9" t="s">
        <v>132</v>
      </c>
      <c r="T19" s="9">
        <f>0.5*(comp_R2+Rotaesd)/(comp_R2*Rotaesd*comp_C2)*(1-(1-4*comp_R2*Rotaesd*comp_C2/((comp_R2+Rotaesd)^2*comp_C1))^0.5)</f>
        <v>8668.25096775364</v>
      </c>
      <c r="Y19" s="9">
        <v>17</v>
      </c>
      <c r="Z19" s="9">
        <f t="shared" si="7"/>
        <v>2.8451549786972743</v>
      </c>
      <c r="AA19" s="9" t="str">
        <f t="shared" si="17"/>
        <v>17.8766359587996i</v>
      </c>
      <c r="AB19" s="9">
        <f>(Assumed_Efficiency/100)*Rout/'4. Current Sense Resistor'!$B$11</f>
        <v>135.14141414141415</v>
      </c>
      <c r="AD19" s="9" t="str">
        <f t="shared" si="0"/>
        <v>0.999982517645265-0.00415331509567954i</v>
      </c>
      <c r="AE19" s="9" t="str">
        <f t="shared" si="8"/>
        <v>0.999999987456635-0.000237789355504892i</v>
      </c>
      <c r="AF19" s="9" t="str">
        <f t="shared" si="1"/>
        <v>18.8432229353456-0.0827440101080507i</v>
      </c>
      <c r="AG19" s="9">
        <f t="shared" si="9"/>
        <v>18.843404606448996</v>
      </c>
      <c r="AH19" s="9">
        <f t="shared" si="2"/>
        <v>-4.3911531780789466E-3</v>
      </c>
      <c r="AI19" s="9">
        <f t="shared" si="3"/>
        <v>-0.25159454429938205</v>
      </c>
      <c r="AJ19" s="9">
        <f t="shared" si="4"/>
        <v>25.503187468298208</v>
      </c>
      <c r="AL19" s="9" t="str">
        <f t="shared" si="5"/>
        <v>0.242465212950742-0.427544271249819i</v>
      </c>
      <c r="AM19" s="9" t="str">
        <f t="shared" si="6"/>
        <v>0.99999999945705-0.0000215616923729137i</v>
      </c>
      <c r="AN19" s="9" t="str">
        <f t="shared" si="10"/>
        <v>-154.030866929604+271.619681703681i</v>
      </c>
      <c r="AO19" s="9">
        <f t="shared" si="11"/>
        <v>312.25431855443469</v>
      </c>
      <c r="AP19" s="9">
        <f t="shared" si="12"/>
        <v>2.0866603135917838</v>
      </c>
      <c r="AQ19" s="9">
        <f t="shared" si="13"/>
        <v>119.55682924625407</v>
      </c>
      <c r="AR19" s="9">
        <f t="shared" si="14"/>
        <v>49.890169069755565</v>
      </c>
      <c r="AS19" s="9">
        <f t="shared" si="15"/>
        <v>75.39335653805378</v>
      </c>
      <c r="AT19" s="9">
        <f t="shared" si="16"/>
        <v>119.30523470195469</v>
      </c>
    </row>
    <row r="20" spans="19:46" x14ac:dyDescent="0.25">
      <c r="S20" s="9" t="s">
        <v>133</v>
      </c>
      <c r="T20" s="9">
        <f>0.5*(comp_R2+Rotaesd)/(comp_R2*Rotaesd*comp_C2)*(1+(1-4*comp_R2*Rotaesd*comp_C2/((comp_R2+Rotaesd)^2*comp_C1))^0.5)</f>
        <v>4938917.2933796784</v>
      </c>
      <c r="Y20" s="9">
        <v>18</v>
      </c>
      <c r="Z20" s="9">
        <f t="shared" si="7"/>
        <v>3.0256454913213009</v>
      </c>
      <c r="AA20" s="9" t="str">
        <f t="shared" si="17"/>
        <v>19.0106912958042i</v>
      </c>
      <c r="AB20" s="9">
        <f>(Assumed_Efficiency/100)*Rout/'4. Current Sense Resistor'!$B$11</f>
        <v>135.14141414141415</v>
      </c>
      <c r="AD20" s="9" t="str">
        <f t="shared" si="0"/>
        <v>0.999980229249847-0.00441678222909945i</v>
      </c>
      <c r="AE20" s="9" t="str">
        <f t="shared" si="8"/>
        <v>0.999999985814708-0.000252874200704056i</v>
      </c>
      <c r="AF20" s="9" t="str">
        <f t="shared" si="1"/>
        <v>18.8431773468405-0.0879929080807146i</v>
      </c>
      <c r="AG20" s="9">
        <f t="shared" si="9"/>
        <v>18.843382798116568</v>
      </c>
      <c r="AH20" s="9">
        <f t="shared" si="2"/>
        <v>-4.6697150306461667E-3</v>
      </c>
      <c r="AI20" s="9">
        <f t="shared" si="3"/>
        <v>-0.26755496278482921</v>
      </c>
      <c r="AJ20" s="9">
        <f t="shared" si="4"/>
        <v>25.503177415715772</v>
      </c>
      <c r="AL20" s="9" t="str">
        <f t="shared" si="5"/>
        <v>0.220673031141277-0.413605306983021i</v>
      </c>
      <c r="AM20" s="9" t="str">
        <f t="shared" si="6"/>
        <v>0.999999999385978-0.0000229295197612817i</v>
      </c>
      <c r="AN20" s="9" t="str">
        <f t="shared" si="10"/>
        <v>-140.186253537351+262.764232934201i</v>
      </c>
      <c r="AO20" s="9">
        <f t="shared" si="11"/>
        <v>297.82079811580905</v>
      </c>
      <c r="AP20" s="9">
        <f t="shared" si="12"/>
        <v>2.0608879500710193</v>
      </c>
      <c r="AQ20" s="9">
        <f t="shared" si="13"/>
        <v>118.08018158843733</v>
      </c>
      <c r="AR20" s="9">
        <f t="shared" si="14"/>
        <v>49.479100462784729</v>
      </c>
      <c r="AS20" s="9">
        <f t="shared" si="15"/>
        <v>74.982277878500497</v>
      </c>
      <c r="AT20" s="9">
        <f t="shared" si="16"/>
        <v>117.8126266256525</v>
      </c>
    </row>
    <row r="21" spans="19:46" x14ac:dyDescent="0.25">
      <c r="S21" s="9" t="s">
        <v>134</v>
      </c>
      <c r="T21" s="9">
        <f>0.5*(R0+comp_R2+Rotaesd)/(comp_R2*(R0+Rotaesd)*comp_C2)*(1-(1-4*comp_R2*(R0++Rotaesd)*comp_C2/((R0+comp_R2+Rotaesd)^2*comp_C1))^0.5)</f>
        <v>10.089375991793666</v>
      </c>
      <c r="Y21" s="9">
        <v>19</v>
      </c>
      <c r="Z21" s="9">
        <f t="shared" si="7"/>
        <v>3.2175859338757533</v>
      </c>
      <c r="AA21" s="9" t="str">
        <f t="shared" si="17"/>
        <v>20.2166886643158i</v>
      </c>
      <c r="AB21" s="9">
        <f>(Assumed_Efficiency/100)*Rout/'4. Current Sense Resistor'!$B$11</f>
        <v>135.14141414141415</v>
      </c>
      <c r="AD21" s="9" t="str">
        <f t="shared" si="0"/>
        <v>0.999977641316124-0.00469696107510986i</v>
      </c>
      <c r="AE21" s="9" t="str">
        <f t="shared" si="8"/>
        <v>0.999999983957853-0.000268915996021053i</v>
      </c>
      <c r="AF21" s="9" t="str">
        <f t="shared" si="1"/>
        <v>18.8431257910522-0.0935747435004278i</v>
      </c>
      <c r="AG21" s="9">
        <f t="shared" si="9"/>
        <v>18.843358135163641</v>
      </c>
      <c r="AH21" s="9">
        <f t="shared" si="2"/>
        <v>-4.9659475467386692E-3</v>
      </c>
      <c r="AI21" s="9">
        <f t="shared" si="3"/>
        <v>-0.28452783571147089</v>
      </c>
      <c r="AJ21" s="9">
        <f t="shared" si="4"/>
        <v>25.503166047277851</v>
      </c>
      <c r="AL21" s="9" t="str">
        <f t="shared" si="5"/>
        <v>0.200331487759279-0.399083965864097i</v>
      </c>
      <c r="AM21" s="9" t="str">
        <f t="shared" si="6"/>
        <v>0.999999999305602-0.0000243841191769237i</v>
      </c>
      <c r="AN21" s="9" t="str">
        <f t="shared" si="10"/>
        <v>-127.263233419952+253.538799137267i</v>
      </c>
      <c r="AO21" s="9">
        <f t="shared" si="11"/>
        <v>283.68618797620132</v>
      </c>
      <c r="AP21" s="9">
        <f t="shared" si="12"/>
        <v>2.0360009330047326</v>
      </c>
      <c r="AQ21" s="9">
        <f t="shared" si="13"/>
        <v>116.65426054586905</v>
      </c>
      <c r="AR21" s="9">
        <f t="shared" si="14"/>
        <v>49.056763830351755</v>
      </c>
      <c r="AS21" s="9">
        <f t="shared" si="15"/>
        <v>74.5599298776296</v>
      </c>
      <c r="AT21" s="9">
        <f t="shared" si="16"/>
        <v>116.36973271015758</v>
      </c>
    </row>
    <row r="22" spans="19:46" x14ac:dyDescent="0.25">
      <c r="S22" s="9" t="s">
        <v>135</v>
      </c>
      <c r="T22" s="9">
        <f>0.5*(R0+comp_R2+Rotaesd)/(comp_R2*(R0+Rotaesd)*comp_C2)*(1+(1-4*comp_R2*(R0++Rotaesd)*comp_C2/((R0+comp_R2+Rotaesd)^2*comp_C1))^0.5)</f>
        <v>709918.86998192489</v>
      </c>
      <c r="Y22" s="9">
        <v>20</v>
      </c>
      <c r="Z22" s="9">
        <f t="shared" si="7"/>
        <v>3.42170266528945</v>
      </c>
      <c r="AA22" s="9" t="str">
        <f t="shared" si="17"/>
        <v>21.4991919120839i</v>
      </c>
      <c r="AB22" s="9">
        <f>(Assumed_Efficiency/100)*Rout/'4. Current Sense Resistor'!$B$11</f>
        <v>135.14141414141415</v>
      </c>
      <c r="AD22" s="9" t="str">
        <f t="shared" si="0"/>
        <v>0.99997471463808-0.00499491136821265i</v>
      </c>
      <c r="AE22" s="9" t="str">
        <f t="shared" si="8"/>
        <v>0.999999981857935-0.000285975448309586i</v>
      </c>
      <c r="AF22" s="9" t="str">
        <f t="shared" si="1"/>
        <v>18.843067486934-0.0995106288237042i</v>
      </c>
      <c r="AG22" s="9">
        <f t="shared" si="9"/>
        <v>18.843330243945683</v>
      </c>
      <c r="AH22" s="9">
        <f t="shared" si="2"/>
        <v>-5.2809715731402269E-3</v>
      </c>
      <c r="AI22" s="9">
        <f t="shared" si="3"/>
        <v>-0.30257738286949798</v>
      </c>
      <c r="AJ22" s="9">
        <f t="shared" si="4"/>
        <v>25.50315319074673</v>
      </c>
      <c r="AL22" s="9" t="str">
        <f t="shared" si="5"/>
        <v>0.181438916794805-0.384143300570527i</v>
      </c>
      <c r="AM22" s="9" t="str">
        <f t="shared" si="6"/>
        <v>0.999999999214705-0.0000259309952505468i</v>
      </c>
      <c r="AN22" s="9" t="str">
        <f t="shared" si="10"/>
        <v>-115.26074815821+244.04696798435i</v>
      </c>
      <c r="AO22" s="9">
        <f t="shared" si="11"/>
        <v>269.89620717665645</v>
      </c>
      <c r="AP22" s="9">
        <f t="shared" si="12"/>
        <v>2.0120305741892794</v>
      </c>
      <c r="AQ22" s="9">
        <f t="shared" si="13"/>
        <v>115.2808601523294</v>
      </c>
      <c r="AR22" s="9">
        <f t="shared" si="14"/>
        <v>48.623935630083807</v>
      </c>
      <c r="AS22" s="9">
        <f t="shared" si="15"/>
        <v>74.127088820830537</v>
      </c>
      <c r="AT22" s="9">
        <f t="shared" si="16"/>
        <v>114.9782827694599</v>
      </c>
    </row>
    <row r="23" spans="19:46" x14ac:dyDescent="0.25">
      <c r="S23" s="9" t="s">
        <v>137</v>
      </c>
      <c r="T23" s="9">
        <f>$B$9*10^-9</f>
        <v>3.3000000000000004E-8</v>
      </c>
      <c r="U23" s="9" t="s">
        <v>129</v>
      </c>
      <c r="Y23" s="9">
        <v>21</v>
      </c>
      <c r="Z23" s="9">
        <f t="shared" si="7"/>
        <v>3.6387681231394358</v>
      </c>
      <c r="AA23" s="9" t="str">
        <f t="shared" si="17"/>
        <v>22.8630544075431i</v>
      </c>
      <c r="AB23" s="9">
        <f>(Assumed_Efficiency/100)*Rout/'4. Current Sense Resistor'!$B$11</f>
        <v>135.14141414141415</v>
      </c>
      <c r="AD23" s="9" t="str">
        <f t="shared" si="0"/>
        <v>0.999971404878626-0.00531175998496348i</v>
      </c>
      <c r="AE23" s="9" t="str">
        <f t="shared" si="8"/>
        <v>0.999999979483137-0.000304117115534852i</v>
      </c>
      <c r="AF23" s="9" t="str">
        <f t="shared" si="1"/>
        <v>18.84300155122-0.105823014138098i</v>
      </c>
      <c r="AG23" s="9">
        <f t="shared" si="9"/>
        <v>18.843298701915238</v>
      </c>
      <c r="AH23" s="9">
        <f t="shared" si="2"/>
        <v>-5.61597903194898E-3</v>
      </c>
      <c r="AI23" s="9">
        <f t="shared" si="3"/>
        <v>-0.32177189636464226</v>
      </c>
      <c r="AJ23" s="9">
        <f t="shared" si="4"/>
        <v>25.503138651340947</v>
      </c>
      <c r="AL23" s="9" t="str">
        <f t="shared" si="5"/>
        <v>0.163973585044998-0.368935168905927i</v>
      </c>
      <c r="AM23" s="9" t="str">
        <f t="shared" si="6"/>
        <v>0.99999999911191-0.000027576001814775i</v>
      </c>
      <c r="AN23" s="9" t="str">
        <f t="shared" si="10"/>
        <v>-104.164990608168+234.385215023112i</v>
      </c>
      <c r="AO23" s="9">
        <f t="shared" si="11"/>
        <v>256.48932587893438</v>
      </c>
      <c r="AP23" s="9">
        <f t="shared" si="12"/>
        <v>1.9889985099732543</v>
      </c>
      <c r="AQ23" s="9">
        <f t="shared" si="13"/>
        <v>113.96122007927686</v>
      </c>
      <c r="AR23" s="9">
        <f t="shared" si="14"/>
        <v>48.181385922419693</v>
      </c>
      <c r="AS23" s="9">
        <f t="shared" si="15"/>
        <v>73.68452457376064</v>
      </c>
      <c r="AT23" s="9">
        <f t="shared" si="16"/>
        <v>113.63944818291222</v>
      </c>
    </row>
    <row r="24" spans="19:46" x14ac:dyDescent="0.25">
      <c r="S24" s="9" t="s">
        <v>138</v>
      </c>
      <c r="T24" s="9">
        <f>$B$10*10^-9</f>
        <v>4.7000000000000003E-10</v>
      </c>
      <c r="U24" s="9" t="s">
        <v>129</v>
      </c>
      <c r="Y24" s="9">
        <v>22</v>
      </c>
      <c r="Z24" s="9">
        <f t="shared" si="7"/>
        <v>3.8696037467813236</v>
      </c>
      <c r="AA24" s="9" t="str">
        <f t="shared" si="17"/>
        <v>24.3134374063835i</v>
      </c>
      <c r="AB24" s="9">
        <f>(Assumed_Efficiency/100)*Rout/'4. Current Sense Resistor'!$B$11</f>
        <v>135.14141414141415</v>
      </c>
      <c r="AD24" s="9" t="str">
        <f t="shared" si="0"/>
        <v>0.999967661898218-0.00564870518605233i</v>
      </c>
      <c r="AE24" s="9" t="str">
        <f t="shared" si="8"/>
        <v>0.999999976797479-0.000323409651079638i</v>
      </c>
      <c r="AF24" s="9" t="str">
        <f t="shared" si="1"/>
        <v>18.8429269850502-0.112535771674657i</v>
      </c>
      <c r="AG24" s="9">
        <f t="shared" si="9"/>
        <v>18.84326303122258</v>
      </c>
      <c r="AH24" s="9">
        <f t="shared" si="2"/>
        <v>-5.9722374236082483E-3</v>
      </c>
      <c r="AI24" s="9">
        <f t="shared" si="3"/>
        <v>-0.34218399862283705</v>
      </c>
      <c r="AJ24" s="9">
        <f t="shared" si="4"/>
        <v>25.503122208785008</v>
      </c>
      <c r="AL24" s="9" t="str">
        <f t="shared" si="5"/>
        <v>0.1478970071137-0.35359819079738i</v>
      </c>
      <c r="AM24" s="9" t="str">
        <f t="shared" si="6"/>
        <v>0.999999998995659-0.0000293253640567648i</v>
      </c>
      <c r="AN24" s="9" t="str">
        <f t="shared" si="10"/>
        <v>-93.951510926497+224.641605754052i</v>
      </c>
      <c r="AO24" s="9">
        <f t="shared" si="11"/>
        <v>243.49689410982353</v>
      </c>
      <c r="AP24" s="9">
        <f t="shared" si="12"/>
        <v>1.9669174598544172</v>
      </c>
      <c r="AQ24" s="9">
        <f t="shared" si="13"/>
        <v>112.69606910025064</v>
      </c>
      <c r="AR24" s="9">
        <f t="shared" si="14"/>
        <v>47.729868520083478</v>
      </c>
      <c r="AS24" s="9">
        <f t="shared" si="15"/>
        <v>73.232990728868486</v>
      </c>
      <c r="AT24" s="9">
        <f t="shared" si="16"/>
        <v>112.3538851016278</v>
      </c>
    </row>
    <row r="25" spans="19:46" x14ac:dyDescent="0.25">
      <c r="Y25" s="9">
        <v>23</v>
      </c>
      <c r="Z25" s="9">
        <f t="shared" si="7"/>
        <v>4.1150830859167291</v>
      </c>
      <c r="AA25" s="9" t="str">
        <f t="shared" si="17"/>
        <v>25.8558295832552i</v>
      </c>
      <c r="AB25" s="9">
        <f>(Assumed_Efficiency/100)*Rout/'4. Current Sense Resistor'!$B$11</f>
        <v>135.14141414141415</v>
      </c>
      <c r="AD25" s="9" t="str">
        <f t="shared" si="0"/>
        <v>0.99996342899567-0.00600702112399426i</v>
      </c>
      <c r="AE25" s="9" t="str">
        <f t="shared" si="8"/>
        <v>0.999999973760268-0.000343926063548613i</v>
      </c>
      <c r="AF25" s="9" t="str">
        <f t="shared" si="1"/>
        <v>18.842842658846-0.119674285611967i</v>
      </c>
      <c r="AG25" s="9">
        <f t="shared" si="9"/>
        <v>18.843222691478847</v>
      </c>
      <c r="AH25" s="9">
        <f t="shared" si="2"/>
        <v>-6.3510946144173441E-3</v>
      </c>
      <c r="AI25" s="9">
        <f t="shared" si="3"/>
        <v>-0.36389091669438073</v>
      </c>
      <c r="AJ25" s="9">
        <f t="shared" si="4"/>
        <v>25.503103613972812</v>
      </c>
      <c r="AL25" s="9" t="str">
        <f t="shared" si="5"/>
        <v>0.133157271481354-0.338256492046226i</v>
      </c>
      <c r="AM25" s="9" t="str">
        <f t="shared" si="6"/>
        <v>0.999999998864191-0.0000311857020761341i</v>
      </c>
      <c r="AN25" s="9" t="str">
        <f t="shared" si="10"/>
        <v>-84.5873296288474+214.894997533077i</v>
      </c>
      <c r="AO25" s="9">
        <f t="shared" si="11"/>
        <v>230.94344826922557</v>
      </c>
      <c r="AP25" s="9">
        <f t="shared" si="12"/>
        <v>1.9457920863735485</v>
      </c>
      <c r="AQ25" s="9">
        <f t="shared" si="13"/>
        <v>111.48567435915928</v>
      </c>
      <c r="AR25" s="9">
        <f t="shared" si="14"/>
        <v>47.270112921529389</v>
      </c>
      <c r="AS25" s="9">
        <f t="shared" si="15"/>
        <v>72.7732165355022</v>
      </c>
      <c r="AT25" s="9">
        <f t="shared" si="16"/>
        <v>111.12178344246489</v>
      </c>
    </row>
    <row r="26" spans="19:46" x14ac:dyDescent="0.25">
      <c r="Y26" s="9">
        <v>24</v>
      </c>
      <c r="Z26" s="9">
        <f t="shared" si="7"/>
        <v>4.376135106361553</v>
      </c>
      <c r="AA26" s="9" t="str">
        <f t="shared" si="17"/>
        <v>27.4960678025237i</v>
      </c>
      <c r="AB26" s="9">
        <f>(Assumed_Efficiency/100)*Rout/'4. Current Sense Resistor'!$B$11</f>
        <v>135.14141414141415</v>
      </c>
      <c r="AD26" s="9" t="str">
        <f t="shared" si="0"/>
        <v>0.999958642049687-0.00638806263257217i</v>
      </c>
      <c r="AE26" s="9" t="str">
        <f t="shared" si="8"/>
        <v>0.999999970325486-0.000365743993054038i</v>
      </c>
      <c r="AF26" s="9" t="str">
        <f t="shared" si="1"/>
        <v>18.8427472952084-0.127265547493386i</v>
      </c>
      <c r="AG26" s="9">
        <f t="shared" si="9"/>
        <v>18.843177071573209</v>
      </c>
      <c r="AH26" s="9">
        <f t="shared" si="2"/>
        <v>-6.7539839263307993E-3</v>
      </c>
      <c r="AI26" s="9">
        <f t="shared" si="3"/>
        <v>-0.38697477387795148</v>
      </c>
      <c r="AJ26" s="9">
        <f t="shared" si="4"/>
        <v>25.503082585194893</v>
      </c>
      <c r="AL26" s="9" t="str">
        <f t="shared" si="5"/>
        <v>0.119692223193125-0.323019139045377i</v>
      </c>
      <c r="AM26" s="9" t="str">
        <f t="shared" si="6"/>
        <v>0.999999998715513-0.0000331640559373551i</v>
      </c>
      <c r="AN26" s="9" t="str">
        <f t="shared" si="10"/>
        <v>-76.0329595575016+205.214680446384i</v>
      </c>
      <c r="AO26" s="9">
        <f t="shared" si="11"/>
        <v>218.84715216283755</v>
      </c>
      <c r="AP26" s="9">
        <f t="shared" si="12"/>
        <v>1.9256199106785015</v>
      </c>
      <c r="AQ26" s="9">
        <f t="shared" si="13"/>
        <v>110.32989382823669</v>
      </c>
      <c r="AR26" s="9">
        <f t="shared" si="14"/>
        <v>46.802817991062881</v>
      </c>
      <c r="AS26" s="9">
        <f t="shared" si="15"/>
        <v>72.30590057625777</v>
      </c>
      <c r="AT26" s="9">
        <f t="shared" si="16"/>
        <v>109.94291905435874</v>
      </c>
    </row>
    <row r="27" spans="19:46" x14ac:dyDescent="0.25">
      <c r="S27" s="15"/>
      <c r="Y27" s="9">
        <v>25</v>
      </c>
      <c r="Z27" s="9">
        <f t="shared" si="7"/>
        <v>4.6537477055250784</v>
      </c>
      <c r="AA27" s="9" t="str">
        <f t="shared" si="17"/>
        <v>29.2403592066759i</v>
      </c>
      <c r="AB27" s="9">
        <f>(Assumed_Efficiency/100)*Rout/'4. Current Sense Resistor'!$B$11</f>
        <v>135.14141414141415</v>
      </c>
      <c r="AD27" s="9" t="str">
        <f t="shared" si="0"/>
        <v>0.999953228548157-0.00679327031505282i</v>
      </c>
      <c r="AE27" s="9" t="str">
        <f t="shared" si="8"/>
        <v>0.99999996644109-0.000388946005028369i</v>
      </c>
      <c r="AF27" s="9" t="str">
        <f t="shared" si="1"/>
        <v>18.8426394495799-0.135338257596562i</v>
      </c>
      <c r="AG27" s="9">
        <f t="shared" si="9"/>
        <v>18.843125480419484</v>
      </c>
      <c r="AH27" s="9">
        <f t="shared" si="2"/>
        <v>-7.1824295479335316E-3</v>
      </c>
      <c r="AI27" s="9">
        <f t="shared" si="3"/>
        <v>-0.41152289974664713</v>
      </c>
      <c r="AJ27" s="9">
        <f t="shared" si="4"/>
        <v>25.503058803871852</v>
      </c>
      <c r="AL27" s="9" t="str">
        <f t="shared" si="5"/>
        <v>0.107432391729611-0.307980149432635i</v>
      </c>
      <c r="AM27" s="9" t="str">
        <f t="shared" si="6"/>
        <v>0.999999998547374-0.0000352679123114153i</v>
      </c>
      <c r="AN27" s="9" t="str">
        <f t="shared" si="10"/>
        <v>-68.244265963047+195.660384078553i</v>
      </c>
      <c r="AO27" s="9">
        <f t="shared" si="11"/>
        <v>207.22033137364193</v>
      </c>
      <c r="AP27" s="9">
        <f t="shared" si="12"/>
        <v>1.9063922446982646</v>
      </c>
      <c r="AQ27" s="9">
        <f t="shared" si="13"/>
        <v>109.22822971768184</v>
      </c>
      <c r="AR27" s="9">
        <f t="shared" si="14"/>
        <v>46.328647277274804</v>
      </c>
      <c r="AS27" s="9">
        <f t="shared" si="15"/>
        <v>71.831706081146649</v>
      </c>
      <c r="AT27" s="9">
        <f t="shared" si="16"/>
        <v>108.8167068179352</v>
      </c>
    </row>
    <row r="28" spans="19:46" x14ac:dyDescent="0.25">
      <c r="T28" s="15"/>
      <c r="Y28" s="9">
        <v>26</v>
      </c>
      <c r="Z28" s="9">
        <f t="shared" si="7"/>
        <v>4.9489714509035139</v>
      </c>
      <c r="AA28" s="9" t="str">
        <f t="shared" si="17"/>
        <v>31.0953047059682i</v>
      </c>
      <c r="AB28" s="9">
        <f>(Assumed_Efficiency/100)*Rout/'4. Current Sense Resistor'!$B$11</f>
        <v>135.14141414141415</v>
      </c>
      <c r="AD28" s="9" t="str">
        <f t="shared" si="0"/>
        <v>0.999947106490532-0.00722417594910583i</v>
      </c>
      <c r="AE28" s="9" t="str">
        <f t="shared" si="8"/>
        <v>0.999999962048226-0.000413619902675685i</v>
      </c>
      <c r="AF28" s="9" t="str">
        <f t="shared" si="1"/>
        <v>18.8425174883781-0.143922932612436i</v>
      </c>
      <c r="AG28" s="9">
        <f t="shared" si="9"/>
        <v>18.843067136492568</v>
      </c>
      <c r="AH28" s="9">
        <f t="shared" si="2"/>
        <v>-7.6380522866208132E-3</v>
      </c>
      <c r="AI28" s="9">
        <f t="shared" si="3"/>
        <v>-0.43762815972362035</v>
      </c>
      <c r="AJ28" s="9">
        <f t="shared" si="4"/>
        <v>25.503031909729724</v>
      </c>
      <c r="AL28" s="9" t="str">
        <f t="shared" si="5"/>
        <v>0.0963035929434576-0.293218957634992i</v>
      </c>
      <c r="AM28" s="9" t="str">
        <f t="shared" si="6"/>
        <v>0.999999998357225-0.0000375052328075678i</v>
      </c>
      <c r="AN28" s="9" t="str">
        <f t="shared" si="10"/>
        <v>-61.1741195195185+186.282573273724i</v>
      </c>
      <c r="AO28" s="9">
        <f t="shared" si="11"/>
        <v>196.07006401913753</v>
      </c>
      <c r="AP28" s="9">
        <f t="shared" si="12"/>
        <v>1.8880951081961859</v>
      </c>
      <c r="AQ28" s="9">
        <f t="shared" si="13"/>
        <v>108.17988101893798</v>
      </c>
      <c r="AR28" s="9">
        <f t="shared" si="14"/>
        <v>45.848225812800116</v>
      </c>
      <c r="AS28" s="9">
        <f t="shared" si="15"/>
        <v>71.351257722529837</v>
      </c>
      <c r="AT28" s="9">
        <f t="shared" si="16"/>
        <v>107.74225285921436</v>
      </c>
    </row>
    <row r="29" spans="19:46" x14ac:dyDescent="0.25">
      <c r="Y29" s="9">
        <v>27</v>
      </c>
      <c r="Z29" s="9">
        <f t="shared" si="7"/>
        <v>5.2629235557355134</v>
      </c>
      <c r="AA29" s="9" t="str">
        <f t="shared" si="17"/>
        <v>33.0679239582067i</v>
      </c>
      <c r="AB29" s="9">
        <f>(Assumed_Efficiency/100)*Rout/'4. Current Sense Resistor'!$B$11</f>
        <v>135.14141414141415</v>
      </c>
      <c r="AD29" s="9" t="str">
        <f t="shared" si="0"/>
        <v>0.999940183146739-0.0076824082272845i</v>
      </c>
      <c r="AE29" s="9" t="str">
        <f t="shared" si="8"/>
        <v>0.999999957080337-0.00043985905924427i</v>
      </c>
      <c r="AF29" s="9" t="str">
        <f t="shared" si="1"/>
        <v>18.8423795642715-0.153052020009463i</v>
      </c>
      <c r="AG29" s="9">
        <f t="shared" si="9"/>
        <v>18.843001155997026</v>
      </c>
      <c r="AH29" s="9">
        <f t="shared" si="2"/>
        <v>-8.1225756832122853E-3</v>
      </c>
      <c r="AI29" s="9">
        <f t="shared" si="3"/>
        <v>-0.46538930542365514</v>
      </c>
      <c r="AJ29" s="9">
        <f t="shared" si="4"/>
        <v>25.503001495344332</v>
      </c>
      <c r="AL29" s="9" t="str">
        <f t="shared" si="5"/>
        <v>0.0862291687780607-0.278801218310046i</v>
      </c>
      <c r="AM29" s="9" t="str">
        <f t="shared" si="6"/>
        <v>0.999999998142186-0.0000398844841023857i</v>
      </c>
      <c r="AN29" s="9" t="str">
        <f t="shared" si="10"/>
        <v>-54.7738192218305+177.122958563433i</v>
      </c>
      <c r="AO29" s="9">
        <f t="shared" si="11"/>
        <v>185.39879644272065</v>
      </c>
      <c r="AP29" s="9">
        <f t="shared" si="12"/>
        <v>1.8707101063443006</v>
      </c>
      <c r="AQ29" s="9">
        <f t="shared" si="13"/>
        <v>107.18379378599784</v>
      </c>
      <c r="AR29" s="9">
        <f t="shared" si="14"/>
        <v>45.36213820997952</v>
      </c>
      <c r="AS29" s="9">
        <f t="shared" si="15"/>
        <v>70.865139705323855</v>
      </c>
      <c r="AT29" s="9">
        <f t="shared" si="16"/>
        <v>106.71840448057418</v>
      </c>
    </row>
    <row r="30" spans="19:46" x14ac:dyDescent="0.25">
      <c r="Y30" s="9">
        <v>28</v>
      </c>
      <c r="Z30" s="9">
        <f t="shared" si="7"/>
        <v>5.5967921068647417</v>
      </c>
      <c r="AA30" s="9" t="str">
        <f t="shared" si="17"/>
        <v>35.1656819331912i</v>
      </c>
      <c r="AB30" s="9">
        <f>(Assumed_Efficiency/100)*Rout/'4. Current Sense Resistor'!$B$11</f>
        <v>135.14141414141415</v>
      </c>
      <c r="AD30" s="9" t="str">
        <f t="shared" si="0"/>
        <v>0.999932353653902-0.00816969885287513i</v>
      </c>
      <c r="AE30" s="9" t="str">
        <f t="shared" si="8"/>
        <v>0.99999995146215-0.000467762771377795i</v>
      </c>
      <c r="AF30" s="9" t="str">
        <f t="shared" si="1"/>
        <v>18.8422235882232-0.162760019477624i</v>
      </c>
      <c r="AG30" s="9">
        <f t="shared" si="9"/>
        <v>18.842926539487834</v>
      </c>
      <c r="AH30" s="9">
        <f t="shared" si="2"/>
        <v>-8.6378325114907749E-3</v>
      </c>
      <c r="AI30" s="9">
        <f t="shared" si="3"/>
        <v>-0.49491134704930956</v>
      </c>
      <c r="AJ30" s="9">
        <f t="shared" si="4"/>
        <v>25.502967099971645</v>
      </c>
      <c r="AL30" s="9" t="str">
        <f t="shared" si="5"/>
        <v>0.0771318564625621-0.264779841570752i</v>
      </c>
      <c r="AM30" s="9" t="str">
        <f t="shared" si="6"/>
        <v>0.999999997898998-0.0000424146699801361i</v>
      </c>
      <c r="AN30" s="9" t="str">
        <f t="shared" si="10"/>
        <v>-48.9942798888136+168.215153846836i</v>
      </c>
      <c r="AO30" s="9">
        <f t="shared" si="11"/>
        <v>175.20495839312912</v>
      </c>
      <c r="AP30" s="9">
        <f t="shared" si="12"/>
        <v>1.8542152503578062</v>
      </c>
      <c r="AQ30" s="9">
        <f t="shared" si="13"/>
        <v>106.23870815429561</v>
      </c>
      <c r="AR30" s="9">
        <f t="shared" si="14"/>
        <v>44.870927855397355</v>
      </c>
      <c r="AS30" s="9">
        <f t="shared" si="15"/>
        <v>70.373894955368996</v>
      </c>
      <c r="AT30" s="9">
        <f t="shared" si="16"/>
        <v>105.7437968072463</v>
      </c>
    </row>
    <row r="31" spans="19:46" x14ac:dyDescent="0.25">
      <c r="Y31" s="9">
        <v>29</v>
      </c>
      <c r="Z31" s="9">
        <f t="shared" si="7"/>
        <v>5.9518405608089449</v>
      </c>
      <c r="AA31" s="9" t="str">
        <f t="shared" si="17"/>
        <v>37.3965171623503i</v>
      </c>
      <c r="AB31" s="9">
        <f>(Assumed_Efficiency/100)*Rout/'4. Current Sense Resistor'!$B$11</f>
        <v>135.14141414141415</v>
      </c>
      <c r="AD31" s="9" t="str">
        <f t="shared" si="0"/>
        <v>0.999923499429709-0.00868788901187778i</v>
      </c>
      <c r="AE31" s="9" t="str">
        <f t="shared" si="8"/>
        <v>0.999999945108543-0.000497436634882236i</v>
      </c>
      <c r="AF31" s="9" t="str">
        <f t="shared" si="1"/>
        <v>18.8420471978837-0.173083611865903i</v>
      </c>
      <c r="AG31" s="9">
        <f t="shared" si="9"/>
        <v>18.842842156744126</v>
      </c>
      <c r="AH31" s="9">
        <f t="shared" si="2"/>
        <v>-9.1857716864825432E-3</v>
      </c>
      <c r="AI31" s="9">
        <f t="shared" si="3"/>
        <v>-0.5263059492062182</v>
      </c>
      <c r="AJ31" s="9">
        <f t="shared" si="4"/>
        <v>25.502928202572196</v>
      </c>
      <c r="AL31" s="9" t="str">
        <f t="shared" si="5"/>
        <v>0.0689352997441585-0.251196168690953i</v>
      </c>
      <c r="AM31" s="9" t="str">
        <f t="shared" si="6"/>
        <v>0.999999997623977-0.000045105365405726i</v>
      </c>
      <c r="AN31" s="9" t="str">
        <f t="shared" si="10"/>
        <v>-43.7869922518944+159.585423318629i</v>
      </c>
      <c r="AO31" s="9">
        <f t="shared" si="11"/>
        <v>165.48355817498452</v>
      </c>
      <c r="AP31" s="9">
        <f t="shared" si="12"/>
        <v>1.8385857098213223</v>
      </c>
      <c r="AQ31" s="9">
        <f t="shared" si="13"/>
        <v>105.34320144582644</v>
      </c>
      <c r="AR31" s="9">
        <f t="shared" si="14"/>
        <v>44.375097007721614</v>
      </c>
      <c r="AS31" s="9">
        <f t="shared" si="15"/>
        <v>69.878025210293814</v>
      </c>
      <c r="AT31" s="9">
        <f t="shared" si="16"/>
        <v>104.81689549662022</v>
      </c>
    </row>
    <row r="32" spans="19:46" x14ac:dyDescent="0.25">
      <c r="Y32" s="9">
        <v>30</v>
      </c>
      <c r="Z32" s="9">
        <f t="shared" si="7"/>
        <v>6.3294125250499764</v>
      </c>
      <c r="AA32" s="9" t="str">
        <f t="shared" si="17"/>
        <v>39.7688717804725i</v>
      </c>
      <c r="AB32" s="9">
        <f>(Assumed_Efficiency/100)*Rout/'4. Current Sense Resistor'!$B$11</f>
        <v>135.14141414141415</v>
      </c>
      <c r="AD32" s="9" t="str">
        <f t="shared" si="0"/>
        <v>0.999913486378523-0.00923893624283879i</v>
      </c>
      <c r="AE32" s="9" t="str">
        <f t="shared" si="8"/>
        <v>0.999999937923249-0.000528992944330537i</v>
      </c>
      <c r="AF32" s="9" t="str">
        <f t="shared" si="1"/>
        <v>18.8418477218529-0.184061796045936i</v>
      </c>
      <c r="AG32" s="9">
        <f t="shared" si="9"/>
        <v>18.84274672966383</v>
      </c>
      <c r="AH32" s="9">
        <f t="shared" si="2"/>
        <v>-9.7684656066855374E-3</v>
      </c>
      <c r="AI32" s="9">
        <f t="shared" si="3"/>
        <v>-0.55969185158178247</v>
      </c>
      <c r="AJ32" s="9">
        <f t="shared" si="4"/>
        <v>25.502884213922297</v>
      </c>
      <c r="AL32" s="9" t="str">
        <f t="shared" si="5"/>
        <v>0.061565228980657-0.23808121338851i</v>
      </c>
      <c r="AM32" s="9" t="str">
        <f t="shared" si="6"/>
        <v>0.999999997312955-0.0000479667527591593i</v>
      </c>
      <c r="AN32" s="9" t="str">
        <f t="shared" si="10"/>
        <v>-39.1047726700774+151.253470058543i</v>
      </c>
      <c r="AO32" s="9">
        <f t="shared" si="11"/>
        <v>156.22674371031675</v>
      </c>
      <c r="AP32" s="9">
        <f t="shared" si="12"/>
        <v>1.8237944904597445</v>
      </c>
      <c r="AQ32" s="9">
        <f t="shared" si="13"/>
        <v>104.49572700255585</v>
      </c>
      <c r="AR32" s="9">
        <f t="shared" si="14"/>
        <v>43.875107614081905</v>
      </c>
      <c r="AS32" s="9">
        <f t="shared" si="15"/>
        <v>69.377991828004198</v>
      </c>
      <c r="AT32" s="9">
        <f t="shared" si="16"/>
        <v>103.93603515097406</v>
      </c>
    </row>
    <row r="33" spans="1:46" x14ac:dyDescent="0.25">
      <c r="Y33" s="9">
        <v>31</v>
      </c>
      <c r="Z33" s="9">
        <f t="shared" si="7"/>
        <v>6.7309368426385694</v>
      </c>
      <c r="AA33" s="9" t="str">
        <f t="shared" si="17"/>
        <v>42.2917234732204i</v>
      </c>
      <c r="AB33" s="9">
        <f>(Assumed_Efficiency/100)*Rout/'4. Current Sense Resistor'!$B$11</f>
        <v>135.14141414141415</v>
      </c>
      <c r="AD33" s="9" t="str">
        <f t="shared" si="0"/>
        <v>0.999902162863221-0.00982492172720017i</v>
      </c>
      <c r="AE33" s="9" t="str">
        <f t="shared" si="8"/>
        <v>0.999999929797398-0.000562551118017198i</v>
      </c>
      <c r="AF33" s="9" t="str">
        <f t="shared" si="1"/>
        <v>18.8416221392761-0.195736034153382i</v>
      </c>
      <c r="AG33" s="9">
        <f t="shared" si="9"/>
        <v>18.842638812924413</v>
      </c>
      <c r="AH33" s="9">
        <f t="shared" si="2"/>
        <v>-1.0388117956902755E-2</v>
      </c>
      <c r="AI33" s="9">
        <f t="shared" si="3"/>
        <v>-0.59519531601459152</v>
      </c>
      <c r="AJ33" s="9">
        <f t="shared" si="4"/>
        <v>25.502834467694406</v>
      </c>
      <c r="AL33" s="9" t="str">
        <f t="shared" si="5"/>
        <v>0.0549503455218636-0.225456910049604i</v>
      </c>
      <c r="AM33" s="9" t="str">
        <f t="shared" si="6"/>
        <v>0.999999996961221-0.0000510096603686273i</v>
      </c>
      <c r="AN33" s="9" t="str">
        <f t="shared" si="10"/>
        <v>-34.9023249790765+143.233229030582i</v>
      </c>
      <c r="AO33" s="9">
        <f t="shared" si="11"/>
        <v>147.42432020352757</v>
      </c>
      <c r="AP33" s="9">
        <f t="shared" si="12"/>
        <v>1.8098130352147521</v>
      </c>
      <c r="AQ33" s="9">
        <f t="shared" si="13"/>
        <v>103.69464862556674</v>
      </c>
      <c r="AR33" s="9">
        <f t="shared" si="14"/>
        <v>43.37138267710101</v>
      </c>
      <c r="AS33" s="9">
        <f t="shared" si="15"/>
        <v>68.874217144795409</v>
      </c>
      <c r="AT33" s="9">
        <f t="shared" si="16"/>
        <v>103.09945330955215</v>
      </c>
    </row>
    <row r="34" spans="1:46" x14ac:dyDescent="0.25">
      <c r="Y34" s="9">
        <v>32</v>
      </c>
      <c r="Z34" s="9">
        <f t="shared" si="7"/>
        <v>7.1579329993555039</v>
      </c>
      <c r="AA34" s="9" t="str">
        <f t="shared" si="17"/>
        <v>44.9746194513264i</v>
      </c>
      <c r="AB34" s="9">
        <f>(Assumed_Efficiency/100)*Rout/'4. Current Sense Resistor'!$B$11</f>
        <v>135.14141414141415</v>
      </c>
      <c r="AD34" s="9" t="str">
        <f t="shared" si="0"/>
        <v>0.99988935741227-0.0104480580237482i</v>
      </c>
      <c r="AE34" s="9" t="str">
        <f t="shared" si="8"/>
        <v>0.999999920607873-0.000598238149870911i</v>
      </c>
      <c r="AF34" s="9" t="str">
        <f t="shared" si="1"/>
        <v>18.8413670341656-0.208150405676847i</v>
      </c>
      <c r="AG34" s="9">
        <f t="shared" si="9"/>
        <v>18.842516772117403</v>
      </c>
      <c r="AH34" s="9">
        <f t="shared" si="2"/>
        <v>-1.1047071999854545E-2</v>
      </c>
      <c r="AI34" s="9">
        <f t="shared" si="3"/>
        <v>-0.63295060156881133</v>
      </c>
      <c r="AJ34" s="9">
        <f t="shared" si="4"/>
        <v>25.502778210371623</v>
      </c>
      <c r="AL34" s="9" t="str">
        <f t="shared" si="5"/>
        <v>0.0490229498912366-0.213337325255148i</v>
      </c>
      <c r="AM34" s="9" t="str">
        <f t="shared" si="6"/>
        <v>0.999999996563445-0.0000542456034880525i</v>
      </c>
      <c r="AN34" s="9" t="str">
        <f t="shared" si="10"/>
        <v>-31.1366395762803+135.533636768014i</v>
      </c>
      <c r="AO34" s="9">
        <f t="shared" si="11"/>
        <v>139.06421904885215</v>
      </c>
      <c r="AP34" s="9">
        <f t="shared" si="12"/>
        <v>1.7966117496292728</v>
      </c>
      <c r="AQ34" s="9">
        <f t="shared" si="13"/>
        <v>102.93827067737189</v>
      </c>
      <c r="AR34" s="9">
        <f t="shared" si="14"/>
        <v>42.864308024915417</v>
      </c>
      <c r="AS34" s="9">
        <f t="shared" si="15"/>
        <v>68.367086235287047</v>
      </c>
      <c r="AT34" s="9">
        <f t="shared" si="16"/>
        <v>102.30532007580308</v>
      </c>
    </row>
    <row r="35" spans="1:46" x14ac:dyDescent="0.25">
      <c r="Y35" s="9">
        <v>33</v>
      </c>
      <c r="Z35" s="9">
        <f t="shared" si="7"/>
        <v>7.6120168738914558</v>
      </c>
      <c r="AA35" s="9" t="str">
        <f t="shared" si="17"/>
        <v>47.8277125800379i</v>
      </c>
      <c r="AB35" s="9">
        <f>(Assumed_Efficiency/100)*Rout/'4. Current Sense Resistor'!$B$11</f>
        <v>135.14141414141415</v>
      </c>
      <c r="AD35" s="9" t="str">
        <f t="shared" si="0"/>
        <v>0.999874876127544-0.0111106972716145i</v>
      </c>
      <c r="AE35" s="9" t="str">
        <f t="shared" si="8"/>
        <v>0.999999910215439-0.000636189090035368i</v>
      </c>
      <c r="AF35" s="9" t="str">
        <f t="shared" si="1"/>
        <v>18.8410785437598-0.221351770881513i</v>
      </c>
      <c r="AG35" s="9">
        <f t="shared" si="9"/>
        <v>18.842378759026108</v>
      </c>
      <c r="AH35" s="9">
        <f t="shared" si="2"/>
        <v>-1.1747819386318361E-2</v>
      </c>
      <c r="AI35" s="9">
        <f t="shared" si="3"/>
        <v>-0.67310046931801093</v>
      </c>
      <c r="AJ35" s="9">
        <f t="shared" si="4"/>
        <v>25.502714589843411</v>
      </c>
      <c r="AL35" s="9" t="str">
        <f t="shared" si="5"/>
        <v>0.0437193539757574-0.201729802052898i</v>
      </c>
      <c r="AM35" s="9" t="str">
        <f t="shared" si="6"/>
        <v>0.999999996113599-0.0000576868278741542i</v>
      </c>
      <c r="AN35" s="9" t="str">
        <f t="shared" si="10"/>
        <v>-27.7672552857392+128.159358331601i</v>
      </c>
      <c r="AO35" s="9">
        <f t="shared" si="11"/>
        <v>131.13291575371576</v>
      </c>
      <c r="AP35" s="9">
        <f t="shared" si="12"/>
        <v>1.7841604548165546</v>
      </c>
      <c r="AQ35" s="9">
        <f t="shared" si="13"/>
        <v>102.22486403513</v>
      </c>
      <c r="AR35" s="9">
        <f t="shared" si="14"/>
        <v>42.354234357972793</v>
      </c>
      <c r="AS35" s="9">
        <f t="shared" si="15"/>
        <v>67.856948947816207</v>
      </c>
      <c r="AT35" s="9">
        <f t="shared" si="16"/>
        <v>101.55176356581198</v>
      </c>
    </row>
    <row r="36" spans="1:46" x14ac:dyDescent="0.25">
      <c r="Y36" s="9">
        <v>34</v>
      </c>
      <c r="Z36" s="9">
        <f t="shared" si="7"/>
        <v>8.0949068528058863</v>
      </c>
      <c r="AA36" s="9" t="str">
        <f t="shared" si="17"/>
        <v>50.8617998005373i</v>
      </c>
      <c r="AB36" s="9">
        <f>(Assumed_Efficiency/100)*Rout/'4. Current Sense Resistor'!$B$11</f>
        <v>135.14141414141415</v>
      </c>
      <c r="AD36" s="9" t="str">
        <f t="shared" si="0"/>
        <v>0.999858499753996-0.0118153398870814i</v>
      </c>
      <c r="AE36" s="9" t="str">
        <f t="shared" si="8"/>
        <v>0.999999898462636-0.000676547555936854i</v>
      </c>
      <c r="AF36" s="9" t="str">
        <f t="shared" si="1"/>
        <v>18.8407523001469-0.235389944070577i</v>
      </c>
      <c r="AG36" s="9">
        <f t="shared" si="9"/>
        <v>18.842222683676685</v>
      </c>
      <c r="AH36" s="9">
        <f t="shared" si="2"/>
        <v>-1.2493009515176248E-2</v>
      </c>
      <c r="AI36" s="9">
        <f t="shared" si="3"/>
        <v>-0.71579671863637773</v>
      </c>
      <c r="AJ36" s="9">
        <f t="shared" si="4"/>
        <v>25.502642642511692</v>
      </c>
      <c r="AL36" s="9" t="str">
        <f t="shared" si="5"/>
        <v>0.0389801157689341-0.190636017317948i</v>
      </c>
      <c r="AM36" s="9" t="str">
        <f t="shared" si="6"/>
        <v>0.99999999560487-0.0000613463561279466i</v>
      </c>
      <c r="AN36" s="9" t="str">
        <f t="shared" si="10"/>
        <v>-24.7564084908296+121.111459052702i</v>
      </c>
      <c r="AO36" s="9">
        <f t="shared" si="11"/>
        <v>123.61579702950239</v>
      </c>
      <c r="AP36" s="9">
        <f t="shared" si="12"/>
        <v>1.7724287728261456</v>
      </c>
      <c r="AQ36" s="9">
        <f t="shared" si="13"/>
        <v>101.55268817048992</v>
      </c>
      <c r="AR36" s="9">
        <f t="shared" si="14"/>
        <v>41.841479467542086</v>
      </c>
      <c r="AS36" s="9">
        <f t="shared" si="15"/>
        <v>67.344122110053775</v>
      </c>
      <c r="AT36" s="9">
        <f t="shared" si="16"/>
        <v>100.83689145185353</v>
      </c>
    </row>
    <row r="37" spans="1:46" x14ac:dyDescent="0.25">
      <c r="Y37" s="9">
        <v>35</v>
      </c>
      <c r="Z37" s="9">
        <f t="shared" si="7"/>
        <v>8.6084303334057619</v>
      </c>
      <c r="AA37" s="9" t="str">
        <f t="shared" si="17"/>
        <v>54.0883629887341i</v>
      </c>
      <c r="AB37" s="9">
        <f>(Assumed_Efficiency/100)*Rout/'4. Current Sense Resistor'!$B$11</f>
        <v>135.14141414141415</v>
      </c>
      <c r="AD37" s="9" t="str">
        <f t="shared" si="0"/>
        <v>0.999839980367228-0.0125646437801447i</v>
      </c>
      <c r="AE37" s="9" t="str">
        <f t="shared" si="8"/>
        <v>0.999999885171389-0.000719466275772601i</v>
      </c>
      <c r="AF37" s="9" t="str">
        <f t="shared" si="1"/>
        <v>18.8403833642753-0.250317877201537i</v>
      </c>
      <c r="AG37" s="9">
        <f t="shared" si="9"/>
        <v>18.842046182740031</v>
      </c>
      <c r="AH37" s="9">
        <f t="shared" si="2"/>
        <v>-1.3285459476438295E-2</v>
      </c>
      <c r="AI37" s="9">
        <f t="shared" si="3"/>
        <v>-0.76120075689199862</v>
      </c>
      <c r="AJ37" s="9">
        <f t="shared" si="4"/>
        <v>25.502561278711731</v>
      </c>
      <c r="AL37" s="9" t="str">
        <f t="shared" si="5"/>
        <v>0.0347501320493134-0.180052941254889i</v>
      </c>
      <c r="AM37" s="9" t="str">
        <f t="shared" si="6"/>
        <v>0.999999995029547-0.0000652380369760337i</v>
      </c>
      <c r="AN37" s="9" t="str">
        <f t="shared" si="10"/>
        <v>-22.0690920130837+114.388014106807i</v>
      </c>
      <c r="AO37" s="9">
        <f t="shared" si="11"/>
        <v>116.49747891512945</v>
      </c>
      <c r="AP37" s="9">
        <f t="shared" si="12"/>
        <v>1.761386450151242</v>
      </c>
      <c r="AQ37" s="9">
        <f t="shared" si="13"/>
        <v>100.92000968519632</v>
      </c>
      <c r="AR37" s="9">
        <f t="shared" si="14"/>
        <v>41.32633054070088</v>
      </c>
      <c r="AS37" s="9">
        <f t="shared" si="15"/>
        <v>66.828891819412604</v>
      </c>
      <c r="AT37" s="9">
        <f t="shared" si="16"/>
        <v>100.15880892830432</v>
      </c>
    </row>
    <row r="38" spans="1:46" x14ac:dyDescent="0.25">
      <c r="Y38" s="9">
        <v>36</v>
      </c>
      <c r="Z38" s="9">
        <f t="shared" si="7"/>
        <v>9.1545306391529166</v>
      </c>
      <c r="AA38" s="9" t="str">
        <f t="shared" si="17"/>
        <v>57.519612406051i</v>
      </c>
      <c r="AB38" s="9">
        <f>(Assumed_Efficiency/100)*Rout/'4. Current Sense Resistor'!$B$11</f>
        <v>135.14141414141415</v>
      </c>
      <c r="AD38" s="9" t="str">
        <f t="shared" si="0"/>
        <v>0.999819037629349-0.0133614341173441i</v>
      </c>
      <c r="AE38" s="9" t="str">
        <f t="shared" si="8"/>
        <v>0.999999870140317-0.000765107666476537i</v>
      </c>
      <c r="AF38" s="9" t="str">
        <f t="shared" si="1"/>
        <v>18.8399661513648-0.266191854385487i</v>
      </c>
      <c r="AG38" s="9">
        <f t="shared" si="9"/>
        <v>18.841846583812121</v>
      </c>
      <c r="AH38" s="9">
        <f t="shared" si="2"/>
        <v>-1.4128164612034342E-2</v>
      </c>
      <c r="AI38" s="9">
        <f t="shared" si="3"/>
        <v>-0.80948420453565184</v>
      </c>
      <c r="AJ38" s="9">
        <f t="shared" si="4"/>
        <v>25.502469266229348</v>
      </c>
      <c r="AL38" s="9" t="str">
        <f t="shared" si="5"/>
        <v>0.0309786203916659-0.169973694779741i</v>
      </c>
      <c r="AM38" s="9" t="str">
        <f t="shared" si="6"/>
        <v>0.999999994378914-0.0000693765976781982i</v>
      </c>
      <c r="AN38" s="9" t="str">
        <f t="shared" si="10"/>
        <v>-19.6730436838619+107.984653209903i</v>
      </c>
      <c r="AO38" s="9">
        <f t="shared" si="11"/>
        <v>109.76207895557624</v>
      </c>
      <c r="AP38" s="9">
        <f t="shared" si="12"/>
        <v>1.7510036255813963</v>
      </c>
      <c r="AQ38" s="9">
        <f t="shared" si="13"/>
        <v>100.32511765791945</v>
      </c>
      <c r="AR38" s="9">
        <f t="shared" si="14"/>
        <v>40.809046484451834</v>
      </c>
      <c r="AS38" s="9">
        <f t="shared" si="15"/>
        <v>66.311515750681181</v>
      </c>
      <c r="AT38" s="9">
        <f t="shared" si="16"/>
        <v>99.515633453383799</v>
      </c>
    </row>
    <row r="39" spans="1:46" x14ac:dyDescent="0.25">
      <c r="Y39" s="9">
        <v>37</v>
      </c>
      <c r="Z39" s="9">
        <f t="shared" si="7"/>
        <v>9.7352743737700074</v>
      </c>
      <c r="AA39" s="9" t="str">
        <f t="shared" si="17"/>
        <v>61.1685329066337i</v>
      </c>
      <c r="AB39" s="9">
        <f>(Assumed_Efficiency/100)*Rout/'4. Current Sense Resistor'!$B$11</f>
        <v>135.14141414141415</v>
      </c>
      <c r="AD39" s="9" t="str">
        <f t="shared" si="0"/>
        <v>0.999795354557157-0.0142087136577537i</v>
      </c>
      <c r="AE39" s="9" t="str">
        <f t="shared" si="8"/>
        <v>0.999999853141677-0.000813644448349528i</v>
      </c>
      <c r="AF39" s="9" t="str">
        <f t="shared" si="1"/>
        <v>18.8394943466019-0.283071697805196i</v>
      </c>
      <c r="AG39" s="9">
        <f t="shared" si="9"/>
        <v>18.841620865035555</v>
      </c>
      <c r="AH39" s="9">
        <f t="shared" si="2"/>
        <v>-1.5024309730937813E-2</v>
      </c>
      <c r="AI39" s="9">
        <f t="shared" si="3"/>
        <v>-0.8608295376800702</v>
      </c>
      <c r="AJ39" s="9">
        <f t="shared" si="4"/>
        <v>25.502365211665623</v>
      </c>
      <c r="AL39" s="9" t="str">
        <f t="shared" si="5"/>
        <v>0.0276190176022161-0.160388305432399i</v>
      </c>
      <c r="AM39" s="9" t="str">
        <f t="shared" si="6"/>
        <v>0.999999993643114-0.0000737776997596051i</v>
      </c>
      <c r="AN39" s="9" t="str">
        <f t="shared" si="10"/>
        <v>-17.5386818200672+101.895040851089i</v>
      </c>
      <c r="AO39" s="9">
        <f t="shared" si="11"/>
        <v>103.3934461657539</v>
      </c>
      <c r="AP39" s="9">
        <f t="shared" si="12"/>
        <v>1.7412510487084305</v>
      </c>
      <c r="AQ39" s="9">
        <f t="shared" si="13"/>
        <v>99.766336163721604</v>
      </c>
      <c r="AR39" s="9">
        <f t="shared" si="14"/>
        <v>40.289860217275297</v>
      </c>
      <c r="AS39" s="9">
        <f t="shared" si="15"/>
        <v>65.792225428940924</v>
      </c>
      <c r="AT39" s="9">
        <f t="shared" si="16"/>
        <v>98.905506626041529</v>
      </c>
    </row>
    <row r="40" spans="1:46" x14ac:dyDescent="0.25">
      <c r="Y40" s="9">
        <v>38</v>
      </c>
      <c r="Z40" s="9">
        <f t="shared" si="7"/>
        <v>10.352859241875105</v>
      </c>
      <c r="AA40" s="9" t="str">
        <f t="shared" si="17"/>
        <v>65.0489330758481i</v>
      </c>
      <c r="AB40" s="9">
        <f>(Assumed_Efficiency/100)*Rout/'4. Current Sense Resistor'!$B$11</f>
        <v>135.14141414141415</v>
      </c>
      <c r="AD40" s="9" t="str">
        <f t="shared" si="0"/>
        <v>0.999768572739453-0.0151096736891628i</v>
      </c>
      <c r="AE40" s="9" t="str">
        <f t="shared" si="8"/>
        <v>0.999999833917915-0.000865260298679996i</v>
      </c>
      <c r="AF40" s="9" t="str">
        <f t="shared" si="1"/>
        <v>18.838960809861-0.301020985590481i</v>
      </c>
      <c r="AG40" s="9">
        <f t="shared" si="9"/>
        <v>18.841365609457412</v>
      </c>
      <c r="AH40" s="9">
        <f t="shared" si="2"/>
        <v>-1.5977281016970001E-2</v>
      </c>
      <c r="AI40" s="9">
        <f t="shared" si="3"/>
        <v>-0.91543077036686893</v>
      </c>
      <c r="AJ40" s="9">
        <f t="shared" si="4"/>
        <v>25.502247539368987</v>
      </c>
      <c r="AL40" s="9" t="str">
        <f t="shared" si="5"/>
        <v>0.0246288173930719-0.151284365900469i</v>
      </c>
      <c r="AM40" s="9" t="str">
        <f t="shared" si="6"/>
        <v>0.999999992810997-0.0000784579982785277i</v>
      </c>
      <c r="AN40" s="9" t="str">
        <f t="shared" si="10"/>
        <v>-15.6390020984091+96.1112946540269i</v>
      </c>
      <c r="AO40" s="9">
        <f t="shared" si="11"/>
        <v>97.37535287077128</v>
      </c>
      <c r="AP40" s="9">
        <f t="shared" si="12"/>
        <v>1.7321002552418983</v>
      </c>
      <c r="AQ40" s="9">
        <f t="shared" si="13"/>
        <v>99.242034318893417</v>
      </c>
      <c r="AR40" s="9">
        <f t="shared" si="14"/>
        <v>39.768980889771818</v>
      </c>
      <c r="AS40" s="9">
        <f t="shared" si="15"/>
        <v>65.271228429140805</v>
      </c>
      <c r="AT40" s="9">
        <f t="shared" si="16"/>
        <v>98.326603548526549</v>
      </c>
    </row>
    <row r="41" spans="1:46" x14ac:dyDescent="0.25">
      <c r="Y41" s="9">
        <v>39</v>
      </c>
      <c r="Z41" s="9">
        <f t="shared" si="7"/>
        <v>11.009622365740512</v>
      </c>
      <c r="AA41" s="9" t="str">
        <f t="shared" si="17"/>
        <v>69.1754974860165i</v>
      </c>
      <c r="AB41" s="9">
        <f>(Assumed_Efficiency/100)*Rout/'4. Current Sense Resistor'!$B$11</f>
        <v>135.14141414141415</v>
      </c>
      <c r="AD41" s="9" t="str">
        <f t="shared" si="0"/>
        <v>0.999738286932277-0.01606770559131i</v>
      </c>
      <c r="AE41" s="9" t="str">
        <f t="shared" si="8"/>
        <v>0.999999812177761-0.000920150546828211i</v>
      </c>
      <c r="AF41" s="9" t="str">
        <f t="shared" si="1"/>
        <v>18.8383574680328-0.320107282186068i</v>
      </c>
      <c r="AG41" s="9">
        <f t="shared" si="9"/>
        <v>18.84107695344127</v>
      </c>
      <c r="AH41" s="9">
        <f t="shared" si="2"/>
        <v>-1.6990678669426242E-2</v>
      </c>
      <c r="AI41" s="9">
        <f t="shared" si="3"/>
        <v>-0.97349417882107692</v>
      </c>
      <c r="AJ41" s="9">
        <f t="shared" si="4"/>
        <v>25.502114467618373</v>
      </c>
      <c r="AL41" s="9" t="str">
        <f t="shared" si="5"/>
        <v>0.0219693660907772-0.142647601471853i</v>
      </c>
      <c r="AM41" s="9" t="str">
        <f t="shared" si="6"/>
        <v>0.999999991869956-0.0000834352048538756i</v>
      </c>
      <c r="AN41" s="9" t="str">
        <f t="shared" si="10"/>
        <v>-13.9494477686704+90.6243458806686i</v>
      </c>
      <c r="AO41" s="9">
        <f t="shared" si="11"/>
        <v>91.691652615436709</v>
      </c>
      <c r="AP41" s="9">
        <f t="shared" si="12"/>
        <v>1.7235237049661531</v>
      </c>
      <c r="AQ41" s="9">
        <f t="shared" si="13"/>
        <v>98.750634185311455</v>
      </c>
      <c r="AR41" s="9">
        <f t="shared" si="14"/>
        <v>39.246596007170346</v>
      </c>
      <c r="AS41" s="9">
        <f t="shared" si="15"/>
        <v>64.748710474788723</v>
      </c>
      <c r="AT41" s="9">
        <f t="shared" si="16"/>
        <v>97.777140006490384</v>
      </c>
    </row>
    <row r="42" spans="1:46" ht="23.25" x14ac:dyDescent="0.35">
      <c r="A42" s="18" t="str">
        <f>IF(D_&gt;Dmax,"WARNING:  Maximum duty cycle is exceeded.  Possible reasons:  Excessive circuit losses (inductor ESR, FET Rdson), excessive output current or insufficient input voltage.","")</f>
        <v/>
      </c>
      <c r="Y42" s="9">
        <v>40</v>
      </c>
      <c r="Z42" s="9">
        <f t="shared" si="7"/>
        <v>11.708049129648925</v>
      </c>
      <c r="AA42" s="9" t="str">
        <f t="shared" si="17"/>
        <v>73.5638422671469i</v>
      </c>
      <c r="AB42" s="9">
        <f>(Assumed_Efficiency/100)*Rout/'4. Current Sense Resistor'!$B$11</f>
        <v>135.14141414141415</v>
      </c>
      <c r="AD42" s="9" t="str">
        <f t="shared" si="0"/>
        <v>0.999704038951699-0.0170864130524835i</v>
      </c>
      <c r="AE42" s="9" t="str">
        <f t="shared" si="8"/>
        <v>0.99999978759182-0.000978522913404568i</v>
      </c>
      <c r="AF42" s="9" t="str">
        <f t="shared" si="1"/>
        <v>18.8376751933588-0.340402381736174i</v>
      </c>
      <c r="AG42" s="9">
        <f t="shared" si="9"/>
        <v>18.840750528362111</v>
      </c>
      <c r="AH42" s="9">
        <f t="shared" si="2"/>
        <v>-1.8068330318450256E-2</v>
      </c>
      <c r="AI42" s="9">
        <f t="shared" si="3"/>
        <v>-1.0352390700954663</v>
      </c>
      <c r="AJ42" s="9">
        <f t="shared" si="4"/>
        <v>25.501963981699713</v>
      </c>
      <c r="AL42" s="9" t="str">
        <f t="shared" si="5"/>
        <v>0.0196056315406904-0.13446235404211i</v>
      </c>
      <c r="AM42" s="9" t="str">
        <f t="shared" si="6"/>
        <v>0.999999990805733-0.0000887281546910417i</v>
      </c>
      <c r="AN42" s="9" t="str">
        <f t="shared" si="10"/>
        <v>-12.4477628382306+85.4242469220719i</v>
      </c>
      <c r="AO42" s="9">
        <f t="shared" si="11"/>
        <v>86.326408253094527</v>
      </c>
      <c r="AP42" s="9">
        <f t="shared" si="12"/>
        <v>1.7154948877387062</v>
      </c>
      <c r="AQ42" s="9">
        <f t="shared" si="13"/>
        <v>98.29061684369681</v>
      </c>
      <c r="AR42" s="9">
        <f t="shared" si="14"/>
        <v>38.722873435549324</v>
      </c>
      <c r="AS42" s="9">
        <f t="shared" si="15"/>
        <v>64.224837417249034</v>
      </c>
      <c r="AT42" s="9">
        <f t="shared" si="16"/>
        <v>97.255377773601339</v>
      </c>
    </row>
    <row r="43" spans="1:46" x14ac:dyDescent="0.25">
      <c r="Y43" s="9">
        <v>41</v>
      </c>
      <c r="Z43" s="9">
        <f t="shared" si="7"/>
        <v>12.4507825853165</v>
      </c>
      <c r="AA43" s="9" t="str">
        <f t="shared" si="17"/>
        <v>78.2305742029481i</v>
      </c>
      <c r="AB43" s="9">
        <f>(Assumed_Efficiency/100)*Rout/'4. Current Sense Resistor'!$B$11</f>
        <v>135.14141414141415</v>
      </c>
      <c r="AD43" s="9" t="str">
        <f t="shared" si="0"/>
        <v>0.999665310773656-0.0181696249647543i</v>
      </c>
      <c r="AE43" s="9" t="str">
        <f t="shared" si="8"/>
        <v>0.999999759787578-0.00104059829633889i</v>
      </c>
      <c r="AF43" s="9" t="str">
        <f t="shared" si="1"/>
        <v>18.8369036659694-0.361982564989199i</v>
      </c>
      <c r="AG43" s="9">
        <f t="shared" si="9"/>
        <v>18.840381394716179</v>
      </c>
      <c r="AH43" s="9">
        <f t="shared" si="2"/>
        <v>-1.921430525881437E-2</v>
      </c>
      <c r="AI43" s="9">
        <f t="shared" si="3"/>
        <v>-1.1008985976060863</v>
      </c>
      <c r="AJ43" s="9">
        <f t="shared" si="4"/>
        <v>25.501793803472744</v>
      </c>
      <c r="AL43" s="9" t="str">
        <f t="shared" si="5"/>
        <v>0.0175059571841273-0.126711990914841i</v>
      </c>
      <c r="AM43" s="9" t="str">
        <f t="shared" si="6"/>
        <v>0.999999989602202-0.0000943568778597062i</v>
      </c>
      <c r="AN43" s="9" t="str">
        <f t="shared" si="10"/>
        <v>-11.1138358368201+80.500431010095i</v>
      </c>
      <c r="AO43" s="9">
        <f t="shared" si="11"/>
        <v>81.26399411682182</v>
      </c>
      <c r="AP43" s="9">
        <f t="shared" si="12"/>
        <v>1.7079884024394578</v>
      </c>
      <c r="AQ43" s="9">
        <f t="shared" si="13"/>
        <v>97.860526917072889</v>
      </c>
      <c r="AR43" s="9">
        <f t="shared" si="14"/>
        <v>38.197963280867867</v>
      </c>
      <c r="AS43" s="9">
        <f t="shared" si="15"/>
        <v>63.699757084340611</v>
      </c>
      <c r="AT43" s="9">
        <f t="shared" si="16"/>
        <v>96.759628319466799</v>
      </c>
    </row>
    <row r="44" spans="1:46" x14ac:dyDescent="0.25">
      <c r="Y44" s="9">
        <v>42</v>
      </c>
      <c r="Z44" s="9">
        <f t="shared" si="7"/>
        <v>13.240633453975693</v>
      </c>
      <c r="AA44" s="9" t="str">
        <f t="shared" si="17"/>
        <v>83.1933535757706i</v>
      </c>
      <c r="AB44" s="9">
        <f>(Assumed_Efficiency/100)*Rout/'4. Current Sense Resistor'!$B$11</f>
        <v>135.14141414141415</v>
      </c>
      <c r="AD44" s="9" t="str">
        <f t="shared" si="0"/>
        <v>0.999621516738808-0.01932140902146i</v>
      </c>
      <c r="AE44" s="9" t="str">
        <f t="shared" si="8"/>
        <v>0.999999728343759-0.00110661160681531i</v>
      </c>
      <c r="AF44" s="9" t="str">
        <f t="shared" si="1"/>
        <v>18.8360312185915-0.384928870193069i</v>
      </c>
      <c r="AG44" s="9">
        <f t="shared" si="9"/>
        <v>18.839963967663572</v>
      </c>
      <c r="AH44" s="9">
        <f t="shared" si="2"/>
        <v>-2.0432929547431672E-2</v>
      </c>
      <c r="AI44" s="9">
        <f t="shared" si="3"/>
        <v>-1.1707206261559902</v>
      </c>
      <c r="AJ44" s="9">
        <f t="shared" si="4"/>
        <v>25.501601356971729</v>
      </c>
      <c r="AL44" s="9" t="str">
        <f t="shared" si="5"/>
        <v>0.0156418105620019-0.119379246742299i</v>
      </c>
      <c r="AM44" s="9" t="str">
        <f t="shared" si="6"/>
        <v>0.99999998824113-0.000100342675093323i</v>
      </c>
      <c r="AN44" s="9" t="str">
        <f t="shared" si="10"/>
        <v>-9.92954004041846+75.8419294529535i</v>
      </c>
      <c r="AO44" s="9">
        <f t="shared" si="11"/>
        <v>76.489175891501461</v>
      </c>
      <c r="AP44" s="9">
        <f t="shared" si="12"/>
        <v>1.7009800132688633</v>
      </c>
      <c r="AQ44" s="9">
        <f t="shared" si="13"/>
        <v>97.458975796412631</v>
      </c>
      <c r="AR44" s="9">
        <f t="shared" si="14"/>
        <v>37.671999635571879</v>
      </c>
      <c r="AS44" s="9">
        <f t="shared" si="15"/>
        <v>63.173600992543612</v>
      </c>
      <c r="AT44" s="9">
        <f t="shared" si="16"/>
        <v>96.288255170256647</v>
      </c>
    </row>
    <row r="45" spans="1:46" x14ac:dyDescent="0.25">
      <c r="Y45" s="9">
        <v>43</v>
      </c>
      <c r="Z45" s="9">
        <f t="shared" si="7"/>
        <v>14.080590762968805</v>
      </c>
      <c r="AA45" s="9" t="str">
        <f t="shared" si="17"/>
        <v>88.4709609982942i</v>
      </c>
      <c r="AB45" s="9">
        <f>(Assumed_Efficiency/100)*Rout/'4. Current Sense Resistor'!$B$11</f>
        <v>135.14141414141415</v>
      </c>
      <c r="AD45" s="9" t="str">
        <f t="shared" si="0"/>
        <v>0.99957199474759-0.0205460860381491i</v>
      </c>
      <c r="AE45" s="9" t="str">
        <f t="shared" si="8"/>
        <v>0.999999692783944-0.00117681265823582i</v>
      </c>
      <c r="AF45" s="9" t="str">
        <f t="shared" si="1"/>
        <v>18.8350446611406-0.409327378403827i</v>
      </c>
      <c r="AG45" s="9">
        <f t="shared" si="9"/>
        <v>18.839491932901797</v>
      </c>
      <c r="AH45" s="9">
        <f t="shared" si="2"/>
        <v>-2.1728802011466382E-2</v>
      </c>
      <c r="AI45" s="9">
        <f t="shared" si="3"/>
        <v>-1.2449686491323975</v>
      </c>
      <c r="AJ45" s="9">
        <f t="shared" si="4"/>
        <v>25.501383729527362</v>
      </c>
      <c r="AL45" s="9" t="str">
        <f t="shared" si="5"/>
        <v>0.0139875332189612-0.112446506714691i</v>
      </c>
      <c r="AM45" s="9" t="str">
        <f t="shared" si="6"/>
        <v>0.999999986701893-0.000106708198397151i</v>
      </c>
      <c r="AN45" s="9" t="str">
        <f t="shared" si="10"/>
        <v>-8.87857458488846+71.4375515459659i</v>
      </c>
      <c r="AO45" s="9">
        <f t="shared" si="11"/>
        <v>71.987171478965365</v>
      </c>
      <c r="AP45" s="9">
        <f t="shared" si="12"/>
        <v>1.6944466872863793</v>
      </c>
      <c r="AQ45" s="9">
        <f t="shared" si="13"/>
        <v>97.084643791433123</v>
      </c>
      <c r="AR45" s="9">
        <f t="shared" si="14"/>
        <v>37.145102191878038</v>
      </c>
      <c r="AS45" s="9">
        <f t="shared" si="15"/>
        <v>62.6464859214054</v>
      </c>
      <c r="AT45" s="9">
        <f t="shared" si="16"/>
        <v>95.83967514230072</v>
      </c>
    </row>
    <row r="46" spans="1:46" x14ac:dyDescent="0.25">
      <c r="Y46" s="9">
        <v>44</v>
      </c>
      <c r="Z46" s="9">
        <f t="shared" si="7"/>
        <v>14.973833157104059</v>
      </c>
      <c r="AA46" s="9" t="str">
        <f t="shared" si="17"/>
        <v>94.0833684848747i</v>
      </c>
      <c r="AB46" s="9">
        <f>(Assumed_Efficiency/100)*Rout/'4. Current Sense Resistor'!$B$11</f>
        <v>135.14141414141415</v>
      </c>
      <c r="AD46" s="9" t="str">
        <f t="shared" si="0"/>
        <v>0.999515996316184-0.0218482450148607i</v>
      </c>
      <c r="AE46" s="9" t="str">
        <f t="shared" si="8"/>
        <v>0.999999652569347-0.0012514671115763i</v>
      </c>
      <c r="AF46" s="9" t="str">
        <f t="shared" si="1"/>
        <v>18.833929082619-0.435269513563591i</v>
      </c>
      <c r="AG46" s="9">
        <f t="shared" si="9"/>
        <v>18.838958151621856</v>
      </c>
      <c r="AH46" s="9">
        <f t="shared" si="2"/>
        <v>-2.3106811215293468E-2</v>
      </c>
      <c r="AI46" s="9">
        <f t="shared" si="3"/>
        <v>-1.3239227606418724</v>
      </c>
      <c r="AJ46" s="9">
        <f t="shared" si="4"/>
        <v>25.50113762782847</v>
      </c>
      <c r="AL46" s="9" t="str">
        <f t="shared" si="5"/>
        <v>0.0125200971090591-0.105896038641604i</v>
      </c>
      <c r="AM46" s="9" t="str">
        <f t="shared" si="6"/>
        <v>0.99999998496117-0.000113477536769836i</v>
      </c>
      <c r="AN46" s="9" t="str">
        <f t="shared" si="10"/>
        <v>-7.94630971004999+67.2760320133753i</v>
      </c>
      <c r="AO46" s="9">
        <f t="shared" si="11"/>
        <v>67.743695806124521</v>
      </c>
      <c r="AP46" s="9">
        <f t="shared" si="12"/>
        <v>1.6883666165961033</v>
      </c>
      <c r="AQ46" s="9">
        <f t="shared" si="13"/>
        <v>96.736281401739134</v>
      </c>
      <c r="AR46" s="9">
        <f t="shared" si="14"/>
        <v>36.617377724064887</v>
      </c>
      <c r="AS46" s="9">
        <f t="shared" si="15"/>
        <v>62.118515351893357</v>
      </c>
      <c r="AT46" s="9">
        <f t="shared" si="16"/>
        <v>95.412358641097256</v>
      </c>
    </row>
    <row r="47" spans="1:46" x14ac:dyDescent="0.25">
      <c r="Y47" s="9">
        <v>45</v>
      </c>
      <c r="Z47" s="9">
        <f t="shared" si="7"/>
        <v>15.923740927579823</v>
      </c>
      <c r="AA47" s="9" t="str">
        <f t="shared" si="17"/>
        <v>100.051815031504i</v>
      </c>
      <c r="AB47" s="9">
        <f>(Assumed_Efficiency/100)*Rout/'4. Current Sense Resistor'!$B$11</f>
        <v>135.14141414141415</v>
      </c>
      <c r="AD47" s="9" t="str">
        <f t="shared" si="0"/>
        <v>0.999452675348084-0.0232327589531257i</v>
      </c>
      <c r="AE47" s="9" t="str">
        <f t="shared" si="8"/>
        <v>0.999999607090657-0.00133085748071226i</v>
      </c>
      <c r="AF47" s="9" t="str">
        <f t="shared" si="1"/>
        <v>18.8326676274279-0.462852357614622i</v>
      </c>
      <c r="AG47" s="9">
        <f t="shared" si="9"/>
        <v>18.838354553148218</v>
      </c>
      <c r="AH47" s="9">
        <f t="shared" si="2"/>
        <v>-2.4572153435691756E-2</v>
      </c>
      <c r="AI47" s="9">
        <f t="shared" si="3"/>
        <v>-1.4078806854130232</v>
      </c>
      <c r="AJ47" s="9">
        <f t="shared" si="4"/>
        <v>25.500859328270895</v>
      </c>
      <c r="AL47" s="9" t="str">
        <f t="shared" si="5"/>
        <v>0.0112188710918636-0.0997101809697617i</v>
      </c>
      <c r="AM47" s="9" t="str">
        <f t="shared" si="6"/>
        <v>0.999999982992587-0.000120676307362964i</v>
      </c>
      <c r="AN47" s="9" t="str">
        <f t="shared" si="10"/>
        <v>-7.11963841422518+63.346150456445i</v>
      </c>
      <c r="AO47" s="9">
        <f t="shared" si="11"/>
        <v>63.744992186052372</v>
      </c>
      <c r="AP47" s="9">
        <f t="shared" si="12"/>
        <v>1.6827192281353123</v>
      </c>
      <c r="AQ47" s="9">
        <f t="shared" si="13"/>
        <v>96.412709877664923</v>
      </c>
      <c r="AR47" s="9">
        <f t="shared" si="14"/>
        <v>36.088921444428721</v>
      </c>
      <c r="AS47" s="9">
        <f t="shared" si="15"/>
        <v>61.589780772699612</v>
      </c>
      <c r="AT47" s="9">
        <f t="shared" si="16"/>
        <v>95.004829192251904</v>
      </c>
    </row>
    <row r="48" spans="1:46" x14ac:dyDescent="0.25">
      <c r="Y48" s="9">
        <v>46</v>
      </c>
      <c r="Z48" s="9">
        <f t="shared" si="7"/>
        <v>16.933908803997952</v>
      </c>
      <c r="AA48" s="9" t="str">
        <f t="shared" si="17"/>
        <v>106.398886990399i</v>
      </c>
      <c r="AB48" s="9">
        <f>(Assumed_Efficiency/100)*Rout/'4. Current Sense Resistor'!$B$11</f>
        <v>135.14141414141415</v>
      </c>
      <c r="AD48" s="9" t="str">
        <f t="shared" si="0"/>
        <v>0.999381075457909-0.0247048014351974i</v>
      </c>
      <c r="AE48" s="9" t="str">
        <f t="shared" si="8"/>
        <v>0.999999555658805-0.00141528420151801i</v>
      </c>
      <c r="AF48" s="9" t="str">
        <f t="shared" si="1"/>
        <v>18.8312412428374-0.492178980799121i</v>
      </c>
      <c r="AG48" s="9">
        <f t="shared" si="9"/>
        <v>18.837672013682603</v>
      </c>
      <c r="AH48" s="9">
        <f t="shared" si="2"/>
        <v>-2.6130351695496948E-2</v>
      </c>
      <c r="AI48" s="9">
        <f t="shared" si="3"/>
        <v>-1.4971588693444899</v>
      </c>
      <c r="AJ48" s="9">
        <f t="shared" si="4"/>
        <v>25.500544620855447</v>
      </c>
      <c r="AL48" s="9" t="str">
        <f t="shared" si="5"/>
        <v>0.0100653999074663-0.0938714931155318i</v>
      </c>
      <c r="AM48" s="9" t="str">
        <f t="shared" si="6"/>
        <v>0.999999980766315-0.000128331752423524i</v>
      </c>
      <c r="AN48" s="9" t="str">
        <f t="shared" si="10"/>
        <v>-6.38683603665296+59.6368268600481i</v>
      </c>
      <c r="AO48" s="9">
        <f t="shared" si="11"/>
        <v>59.9778525165285</v>
      </c>
      <c r="AP48" s="9">
        <f t="shared" si="12"/>
        <v>1.6774851836096694</v>
      </c>
      <c r="AQ48" s="9">
        <f t="shared" si="13"/>
        <v>96.112821216562025</v>
      </c>
      <c r="AR48" s="9">
        <f t="shared" si="14"/>
        <v>35.559818239167782</v>
      </c>
      <c r="AS48" s="9">
        <f t="shared" si="15"/>
        <v>61.060362860023233</v>
      </c>
      <c r="AT48" s="9">
        <f t="shared" si="16"/>
        <v>94.615662347217537</v>
      </c>
    </row>
    <row r="49" spans="25:46" x14ac:dyDescent="0.25">
      <c r="Y49" s="9">
        <v>47</v>
      </c>
      <c r="Z49" s="9">
        <f t="shared" si="7"/>
        <v>18.008159557874837</v>
      </c>
      <c r="AA49" s="9" t="str">
        <f t="shared" si="17"/>
        <v>113.148603543385i</v>
      </c>
      <c r="AB49" s="9">
        <f>(Assumed_Efficiency/100)*Rout/'4. Current Sense Resistor'!$B$11</f>
        <v>135.14141414141415</v>
      </c>
      <c r="AD49" s="9" t="str">
        <f t="shared" si="0"/>
        <v>0.999300115664082-0.0262698639654279i</v>
      </c>
      <c r="AE49" s="9" t="str">
        <f t="shared" si="8"/>
        <v>0.999999497494523-0.00150506676878485i</v>
      </c>
      <c r="AF49" s="9" t="str">
        <f t="shared" si="1"/>
        <v>18.8296283939616-0.52335878714314i</v>
      </c>
      <c r="AG49" s="9">
        <f t="shared" si="9"/>
        <v>18.836900219376989</v>
      </c>
      <c r="AH49" s="9">
        <f t="shared" si="2"/>
        <v>-2.7787275906363516E-2</v>
      </c>
      <c r="AI49" s="9">
        <f t="shared" si="3"/>
        <v>-1.5920936336001887</v>
      </c>
      <c r="AJ49" s="9">
        <f t="shared" si="4"/>
        <v>25.500188745804163</v>
      </c>
      <c r="AL49" s="9" t="str">
        <f t="shared" si="5"/>
        <v>0.00904319708208957-0.0883628738063124i</v>
      </c>
      <c r="AM49" s="9" t="str">
        <f t="shared" si="6"/>
        <v>0.999999978248625-0.000136472842386144i</v>
      </c>
      <c r="AN49" s="9" t="str">
        <f t="shared" si="10"/>
        <v>-5.73742869003816+56.1371967752454i</v>
      </c>
      <c r="AO49" s="9">
        <f t="shared" si="11"/>
        <v>56.42962829716226</v>
      </c>
      <c r="AP49" s="9">
        <f t="shared" si="12"/>
        <v>1.6726463717487401</v>
      </c>
      <c r="AQ49" s="9">
        <f t="shared" si="13"/>
        <v>95.835577719072944</v>
      </c>
      <c r="AR49" s="9">
        <f t="shared" si="14"/>
        <v>35.030143791499356</v>
      </c>
      <c r="AS49" s="9">
        <f t="shared" si="15"/>
        <v>60.530332537303522</v>
      </c>
      <c r="AT49" s="9">
        <f t="shared" si="16"/>
        <v>94.243484085472758</v>
      </c>
    </row>
    <row r="50" spans="25:46" x14ac:dyDescent="0.25">
      <c r="Y50" s="9">
        <v>48</v>
      </c>
      <c r="Z50" s="9">
        <f t="shared" si="7"/>
        <v>19.150558469130036</v>
      </c>
      <c r="AA50" s="9" t="str">
        <f t="shared" si="17"/>
        <v>120.326507597521i</v>
      </c>
      <c r="AB50" s="9">
        <f>(Assumed_Efficiency/100)*Rout/'4. Current Sense Resistor'!$B$11</f>
        <v>135.14141414141415</v>
      </c>
      <c r="AD50" s="9" t="str">
        <f t="shared" si="0"/>
        <v>0.999208574244697-0.0279337740640347i</v>
      </c>
      <c r="AE50" s="9" t="str">
        <f t="shared" si="8"/>
        <v>0.999999431716533-0.00160054494525974i</v>
      </c>
      <c r="AF50" s="9" t="str">
        <f t="shared" si="1"/>
        <v>18.8278047421414-0.55650787493033i</v>
      </c>
      <c r="AG50" s="9">
        <f t="shared" si="9"/>
        <v>18.836027511740941</v>
      </c>
      <c r="AH50" s="9">
        <f t="shared" si="2"/>
        <v>-2.9549164171180024E-2</v>
      </c>
      <c r="AI50" s="9">
        <f t="shared" si="3"/>
        <v>-1.6930423951478026</v>
      </c>
      <c r="AJ50" s="9">
        <f t="shared" si="4"/>
        <v>25.499786321959196</v>
      </c>
      <c r="AL50" s="9" t="str">
        <f t="shared" si="5"/>
        <v>0.00813755249822485-0.0831676524549301i</v>
      </c>
      <c r="AM50" s="9" t="str">
        <f t="shared" si="6"/>
        <v>0.999999975401369-0.000145130385505205i</v>
      </c>
      <c r="AN50" s="9" t="str">
        <f t="shared" si="10"/>
        <v>-5.16207100950414+52.8366693696888i</v>
      </c>
      <c r="AO50" s="9">
        <f t="shared" si="11"/>
        <v>53.088234169060229</v>
      </c>
      <c r="AP50" s="9">
        <f t="shared" si="12"/>
        <v>1.668185894727247</v>
      </c>
      <c r="AQ50" s="9">
        <f t="shared" si="13"/>
        <v>95.580011211126319</v>
      </c>
      <c r="AR50" s="9">
        <f t="shared" si="14"/>
        <v>34.499965599915171</v>
      </c>
      <c r="AS50" s="9">
        <f t="shared" si="15"/>
        <v>59.999751921874363</v>
      </c>
      <c r="AT50" s="9">
        <f t="shared" si="16"/>
        <v>93.88696881597852</v>
      </c>
    </row>
    <row r="51" spans="25:46" x14ac:dyDescent="0.25">
      <c r="Y51" s="9">
        <v>49</v>
      </c>
      <c r="Z51" s="9">
        <f t="shared" si="7"/>
        <v>20.365428710297824</v>
      </c>
      <c r="AA51" s="9" t="str">
        <f t="shared" si="17"/>
        <v>127.959762446957i</v>
      </c>
      <c r="AB51" s="9">
        <f>(Assumed_Efficiency/100)*Rout/'4. Current Sense Resistor'!$B$11</f>
        <v>135.14141414141415</v>
      </c>
      <c r="AD51" s="9" t="str">
        <f t="shared" si="0"/>
        <v>0.999105070526098-0.0297027140913297i</v>
      </c>
      <c r="AE51" s="9" t="str">
        <f t="shared" si="8"/>
        <v>0.999999357328203-0.00170208004737922i</v>
      </c>
      <c r="AF51" s="9" t="str">
        <f t="shared" si="1"/>
        <v>18.8257427821443-0.591749411728747i</v>
      </c>
      <c r="AG51" s="9">
        <f t="shared" si="9"/>
        <v>18.835040713142607</v>
      </c>
      <c r="AH51" s="9">
        <f t="shared" si="2"/>
        <v>-3.1422645295927497E-2</v>
      </c>
      <c r="AI51" s="9">
        <f t="shared" si="3"/>
        <v>-1.8003849565932553</v>
      </c>
      <c r="AJ51" s="9">
        <f t="shared" si="4"/>
        <v>25.499331265910826</v>
      </c>
      <c r="AL51" s="9" t="str">
        <f t="shared" si="5"/>
        <v>0.00733535482451903-0.0782696579566375i</v>
      </c>
      <c r="AM51" s="9" t="str">
        <f t="shared" si="6"/>
        <v>0.999999972181407-0.000154337144441716i</v>
      </c>
      <c r="AN51" s="9" t="str">
        <f t="shared" si="10"/>
        <v>-4.65243334197098+49.7249711345665i</v>
      </c>
      <c r="AO51" s="9">
        <f t="shared" si="11"/>
        <v>49.942145431838981</v>
      </c>
      <c r="AP51" s="9">
        <f t="shared" si="12"/>
        <v>1.6640880503094975</v>
      </c>
      <c r="AQ51" s="9">
        <f t="shared" si="13"/>
        <v>95.345222020888016</v>
      </c>
      <c r="AR51" s="9">
        <f t="shared" si="14"/>
        <v>33.969343899752104</v>
      </c>
      <c r="AS51" s="9">
        <f t="shared" si="15"/>
        <v>59.46867516566293</v>
      </c>
      <c r="AT51" s="9">
        <f t="shared" si="16"/>
        <v>93.544837064294768</v>
      </c>
    </row>
    <row r="52" spans="25:46" x14ac:dyDescent="0.25">
      <c r="Y52" s="9">
        <v>50</v>
      </c>
      <c r="Z52" s="9">
        <f t="shared" si="7"/>
        <v>21.657367706679931</v>
      </c>
      <c r="AA52" s="9" t="str">
        <f t="shared" si="17"/>
        <v>136.077254566797i</v>
      </c>
      <c r="AB52" s="9">
        <f>(Assumed_Efficiency/100)*Rout/'4. Current Sense Resistor'!$B$11</f>
        <v>135.14141414141415</v>
      </c>
      <c r="AD52" s="9" t="str">
        <f t="shared" si="0"/>
        <v>0.998988044346352-0.0315832407652497i</v>
      </c>
      <c r="AE52" s="9" t="str">
        <f t="shared" si="8"/>
        <v>0.99999927320244-0.00181005631256307i</v>
      </c>
      <c r="AF52" s="9" t="str">
        <f t="shared" si="1"/>
        <v>18.8234114330435-0.629214023230495i</v>
      </c>
      <c r="AG52" s="9">
        <f t="shared" si="9"/>
        <v>18.833924929888155</v>
      </c>
      <c r="AH52" s="9">
        <f t="shared" si="2"/>
        <v>-3.3414762559159067E-2</v>
      </c>
      <c r="AI52" s="9">
        <f t="shared" si="3"/>
        <v>-1.9145248680715765</v>
      </c>
      <c r="AJ52" s="9">
        <f t="shared" si="4"/>
        <v>25.498816700668829</v>
      </c>
      <c r="AL52" s="9" t="str">
        <f t="shared" si="5"/>
        <v>0.00662492860618346-0.0736532687117614i</v>
      </c>
      <c r="AM52" s="9" t="str">
        <f t="shared" si="6"/>
        <v>0.999999968539951-0.000164127960246086i</v>
      </c>
      <c r="AN52" s="9" t="str">
        <f t="shared" si="10"/>
        <v>-4.20109824939063+46.7921776641744i</v>
      </c>
      <c r="AO52" s="9">
        <f t="shared" si="11"/>
        <v>46.980390771647428</v>
      </c>
      <c r="AP52" s="9">
        <f t="shared" si="12"/>
        <v>1.6603383110241043</v>
      </c>
      <c r="AQ52" s="9">
        <f t="shared" si="13"/>
        <v>95.130377785560583</v>
      </c>
      <c r="AR52" s="9">
        <f t="shared" si="14"/>
        <v>33.438332496283572</v>
      </c>
      <c r="AS52" s="9">
        <f t="shared" si="15"/>
        <v>58.937149196952404</v>
      </c>
      <c r="AT52" s="9">
        <f t="shared" si="16"/>
        <v>93.215852917489002</v>
      </c>
    </row>
    <row r="53" spans="25:46" x14ac:dyDescent="0.25">
      <c r="Y53" s="9">
        <v>51</v>
      </c>
      <c r="Z53" s="9">
        <f t="shared" si="7"/>
        <v>23.031264534351347</v>
      </c>
      <c r="AA53" s="9" t="str">
        <f t="shared" si="17"/>
        <v>144.709702928003i</v>
      </c>
      <c r="AB53" s="9">
        <f>(Assumed_Efficiency/100)*Rout/'4. Current Sense Resistor'!$B$11</f>
        <v>135.14141414141415</v>
      </c>
      <c r="AD53" s="9" t="str">
        <f t="shared" si="0"/>
        <v>0.998855732905513-0.0335823053161476i</v>
      </c>
      <c r="AE53" s="9" t="str">
        <f t="shared" si="8"/>
        <v>0.999999178064611-0.00192488235324095i</v>
      </c>
      <c r="AF53" s="9" t="str">
        <f t="shared" si="1"/>
        <v>18.8207755770377-0.66904019478783i</v>
      </c>
      <c r="AG53" s="9">
        <f t="shared" si="9"/>
        <v>18.832663330061962</v>
      </c>
      <c r="AH53" s="9">
        <f t="shared" si="2"/>
        <v>-3.5532998784636748E-2</v>
      </c>
      <c r="AI53" s="9">
        <f t="shared" si="3"/>
        <v>-2.0358908638031692</v>
      </c>
      <c r="AJ53" s="9">
        <f t="shared" si="4"/>
        <v>25.498234852544641</v>
      </c>
      <c r="AL53" s="9" t="str">
        <f t="shared" si="5"/>
        <v>0.00599588553690161-0.0693034471447829i</v>
      </c>
      <c r="AM53" s="9" t="str">
        <f t="shared" si="6"/>
        <v>0.999999964421829-0.000174539884206019i</v>
      </c>
      <c r="AN53" s="9" t="str">
        <f t="shared" si="10"/>
        <v>-3.80146602151434+44.0287355860477i</v>
      </c>
      <c r="AO53" s="9">
        <f t="shared" si="11"/>
        <v>44.19254123965753</v>
      </c>
      <c r="AP53" s="9">
        <f t="shared" si="12"/>
        <v>1.6569233014602545</v>
      </c>
      <c r="AQ53" s="9">
        <f t="shared" si="13"/>
        <v>94.934712150555171</v>
      </c>
      <c r="AR53" s="9">
        <f t="shared" si="14"/>
        <v>32.906979517386581</v>
      </c>
      <c r="AS53" s="9">
        <f t="shared" si="15"/>
        <v>58.405214369931223</v>
      </c>
      <c r="AT53" s="9">
        <f t="shared" si="16"/>
        <v>92.898821286751996</v>
      </c>
    </row>
    <row r="54" spans="25:46" x14ac:dyDescent="0.25">
      <c r="Y54" s="9">
        <v>52</v>
      </c>
      <c r="Z54" s="9">
        <f t="shared" si="7"/>
        <v>24.492318421858034</v>
      </c>
      <c r="AA54" s="9" t="str">
        <f t="shared" si="17"/>
        <v>153.889775246982i</v>
      </c>
      <c r="AB54" s="9">
        <f>(Assumed_Efficiency/100)*Rout/'4. Current Sense Resistor'!$B$11</f>
        <v>135.14141414141415</v>
      </c>
      <c r="AD54" s="9" t="str">
        <f t="shared" si="0"/>
        <v>0.998706144681403-0.0357072741994965i</v>
      </c>
      <c r="AE54" s="9" t="str">
        <f t="shared" si="8"/>
        <v>0.99999907047324-0.00204699270311293i</v>
      </c>
      <c r="AF54" s="9" t="str">
        <f t="shared" si="1"/>
        <v>18.8177955398126-0.711374684065113i</v>
      </c>
      <c r="AG54" s="9">
        <f t="shared" si="9"/>
        <v>18.831236892974388</v>
      </c>
      <c r="AH54" s="9">
        <f t="shared" si="2"/>
        <v>-3.7785302758709373E-2</v>
      </c>
      <c r="AI54" s="9">
        <f t="shared" si="3"/>
        <v>-2.1649383756980733</v>
      </c>
      <c r="AJ54" s="9">
        <f t="shared" si="4"/>
        <v>25.497576934747975</v>
      </c>
      <c r="AL54" s="9" t="str">
        <f t="shared" si="5"/>
        <v>0.00543898924328874-0.0652057615146825i</v>
      </c>
      <c r="AM54" s="9" t="str">
        <f t="shared" si="6"/>
        <v>0.999999959764645-0.000185612318058393i</v>
      </c>
      <c r="AN54" s="9" t="str">
        <f t="shared" si="10"/>
        <v>-3.44766877320933+41.4254764172161i</v>
      </c>
      <c r="AO54" s="9">
        <f t="shared" si="11"/>
        <v>41.568696351498566</v>
      </c>
      <c r="AP54" s="9">
        <f t="shared" si="12"/>
        <v>1.6538307745919312</v>
      </c>
      <c r="AQ54" s="9">
        <f t="shared" si="13"/>
        <v>94.757523412969434</v>
      </c>
      <c r="AR54" s="9">
        <f t="shared" si="14"/>
        <v>32.375328093574723</v>
      </c>
      <c r="AS54" s="9">
        <f t="shared" si="15"/>
        <v>57.872905028322698</v>
      </c>
      <c r="AT54" s="9">
        <f t="shared" si="16"/>
        <v>92.592585037271363</v>
      </c>
    </row>
    <row r="55" spans="25:46" x14ac:dyDescent="0.25">
      <c r="Y55" s="9">
        <v>53</v>
      </c>
      <c r="Z55" s="9">
        <f t="shared" si="7"/>
        <v>26.046058425622668</v>
      </c>
      <c r="AA55" s="9" t="str">
        <f t="shared" si="17"/>
        <v>163.652211609813i</v>
      </c>
      <c r="AB55" s="9">
        <f>(Assumed_Efficiency/100)*Rout/'4. Current Sense Resistor'!$B$11</f>
        <v>135.14141414141415</v>
      </c>
      <c r="AD55" s="9" t="str">
        <f t="shared" si="0"/>
        <v>0.998537030053255-0.0379659502585749i</v>
      </c>
      <c r="AE55" s="9" t="str">
        <f t="shared" si="8"/>
        <v>0.999998948798159-0.00217684946149399i</v>
      </c>
      <c r="AF55" s="9" t="str">
        <f t="shared" si="1"/>
        <v>18.8144265053159-0.756372942656479i</v>
      </c>
      <c r="AG55" s="9">
        <f t="shared" si="9"/>
        <v>18.829624126687079</v>
      </c>
      <c r="AH55" s="9">
        <f t="shared" si="2"/>
        <v>-4.0180117028486936E-2</v>
      </c>
      <c r="AI55" s="9">
        <f t="shared" si="3"/>
        <v>-2.3021511260740319</v>
      </c>
      <c r="AJ55" s="9">
        <f t="shared" si="4"/>
        <v>25.496833016015753</v>
      </c>
      <c r="AL55" s="9" t="str">
        <f t="shared" si="5"/>
        <v>0.00494603279247882-0.0613463973907007i</v>
      </c>
      <c r="AM55" s="9" t="str">
        <f t="shared" si="6"/>
        <v>0.999999954497835-0.00019738716309572i</v>
      </c>
      <c r="AN55" s="9" t="str">
        <f t="shared" si="10"/>
        <v>-3.13449262480156+38.9736238548843i</v>
      </c>
      <c r="AO55" s="9">
        <f t="shared" si="11"/>
        <v>39.099468032147719</v>
      </c>
      <c r="AP55" s="9">
        <f t="shared" si="12"/>
        <v>1.6510495878791691</v>
      </c>
      <c r="AQ55" s="9">
        <f t="shared" si="13"/>
        <v>94.598173152290315</v>
      </c>
      <c r="AR55" s="9">
        <f t="shared" si="14"/>
        <v>31.843416972840895</v>
      </c>
      <c r="AS55" s="9">
        <f t="shared" si="15"/>
        <v>57.340249988856648</v>
      </c>
      <c r="AT55" s="9">
        <f t="shared" si="16"/>
        <v>92.296022026216278</v>
      </c>
    </row>
    <row r="56" spans="25:46" x14ac:dyDescent="0.25">
      <c r="Y56" s="9">
        <v>54</v>
      </c>
      <c r="Z56" s="9">
        <f t="shared" si="7"/>
        <v>27.698364353515743</v>
      </c>
      <c r="AA56" s="9" t="str">
        <f t="shared" si="17"/>
        <v>174.033955938917i</v>
      </c>
      <c r="AB56" s="9">
        <f>(Assumed_Efficiency/100)*Rout/'4. Current Sense Resistor'!$B$11</f>
        <v>135.14141414141415</v>
      </c>
      <c r="AD56" s="9" t="str">
        <f t="shared" si="0"/>
        <v>0.998345848236111-0.0403665941942721i</v>
      </c>
      <c r="AE56" s="9" t="str">
        <f t="shared" si="8"/>
        <v>0.999998811195808-0.00231494404196278i</v>
      </c>
      <c r="AF56" s="9" t="str">
        <f t="shared" si="1"/>
        <v>18.8106178570377-0.804199543823313i</v>
      </c>
      <c r="AG56" s="9">
        <f t="shared" si="9"/>
        <v>18.827800749683725</v>
      </c>
      <c r="AH56" s="9">
        <f t="shared" si="2"/>
        <v>-4.272640710935325E-2</v>
      </c>
      <c r="AI56" s="9">
        <f t="shared" si="3"/>
        <v>-2.4480428011236972</v>
      </c>
      <c r="AJ56" s="9">
        <f t="shared" si="4"/>
        <v>25.495991872390871</v>
      </c>
      <c r="AL56" s="9" t="str">
        <f t="shared" si="5"/>
        <v>0.00450972806578861-0.0577121607994844i</v>
      </c>
      <c r="AM56" s="9" t="str">
        <f t="shared" si="6"/>
        <v>0.999999948541599-0.000209908978731406i</v>
      </c>
      <c r="AN56" s="9" t="str">
        <f t="shared" si="10"/>
        <v>-2.85730742095925+36.664795775936i</v>
      </c>
      <c r="AO56" s="9">
        <f t="shared" si="11"/>
        <v>36.775963005595962</v>
      </c>
      <c r="AP56" s="9">
        <f t="shared" si="12"/>
        <v>1.6485696797622738</v>
      </c>
      <c r="AQ56" s="9">
        <f t="shared" si="13"/>
        <v>94.456084883611979</v>
      </c>
      <c r="AR56" s="9">
        <f t="shared" si="14"/>
        <v>31.311281077367568</v>
      </c>
      <c r="AS56" s="9">
        <f t="shared" si="15"/>
        <v>56.807272949758442</v>
      </c>
      <c r="AT56" s="9">
        <f t="shared" si="16"/>
        <v>92.008042082488288</v>
      </c>
    </row>
    <row r="57" spans="25:46" x14ac:dyDescent="0.25">
      <c r="Y57" s="9">
        <v>55</v>
      </c>
      <c r="Z57" s="9">
        <f t="shared" si="7"/>
        <v>29.45548901577305</v>
      </c>
      <c r="AA57" s="9" t="str">
        <f t="shared" si="17"/>
        <v>185.074295799695i</v>
      </c>
      <c r="AB57" s="9">
        <f>(Assumed_Efficiency/100)*Rout/'4. Current Sense Resistor'!$B$11</f>
        <v>135.14141414141415</v>
      </c>
      <c r="AD57" s="9" t="str">
        <f t="shared" si="0"/>
        <v>0.998129730086073-0.0429179461566717i</v>
      </c>
      <c r="AE57" s="9" t="str">
        <f t="shared" si="8"/>
        <v>0.999998655581311-0.00246179903193016i</v>
      </c>
      <c r="AF57" s="9" t="str">
        <f t="shared" si="1"/>
        <v>18.8063124370315-0.85502861265934i</v>
      </c>
      <c r="AG57" s="9">
        <f t="shared" ref="AG57:AG120" si="18">IMABS(AF57)</f>
        <v>18.82573933230012</v>
      </c>
      <c r="AH57" s="9">
        <f t="shared" ref="AH57:AH120" si="19">IMARGUMENT(AF57)</f>
        <v>-4.5433692120487035E-2</v>
      </c>
      <c r="AI57" s="9">
        <f t="shared" ref="AI57:AI120" si="20">AH57/(PI())*180</f>
        <v>-2.6031588062006907</v>
      </c>
      <c r="AJ57" s="9">
        <f t="shared" ref="AJ57:AJ120" si="21">20*LOG(AG57,10)</f>
        <v>25.49504082003984</v>
      </c>
      <c r="AL57" s="9" t="str">
        <f t="shared" si="5"/>
        <v>0.00412360611329539-0.0542904747299389i</v>
      </c>
      <c r="AM57" s="9" t="str">
        <f t="shared" si="6"/>
        <v>0.999999941805692-0.000223225151123804i</v>
      </c>
      <c r="AN57" s="9" t="str">
        <f t="shared" si="10"/>
        <v>-2.61200342577101+34.4910020165831i</v>
      </c>
      <c r="AO57" s="9">
        <f t="shared" si="11"/>
        <v>34.589764121834925</v>
      </c>
      <c r="AP57" s="9">
        <f t="shared" si="12"/>
        <v>1.6463820470527899</v>
      </c>
      <c r="AQ57" s="9">
        <f t="shared" si="13"/>
        <v>94.330742762233768</v>
      </c>
      <c r="AR57" s="9">
        <f t="shared" si="14"/>
        <v>30.77895200875512</v>
      </c>
      <c r="AS57" s="9">
        <f t="shared" si="15"/>
        <v>56.27399282879496</v>
      </c>
      <c r="AT57" s="9">
        <f t="shared" si="16"/>
        <v>91.727583956033072</v>
      </c>
    </row>
    <row r="58" spans="25:46" x14ac:dyDescent="0.25">
      <c r="Y58" s="9">
        <v>56</v>
      </c>
      <c r="Z58" s="9">
        <f t="shared" si="7"/>
        <v>31.324081887463471</v>
      </c>
      <c r="AA58" s="9" t="str">
        <f t="shared" si="17"/>
        <v>196.815011076201i</v>
      </c>
      <c r="AB58" s="9">
        <f>(Assumed_Efficiency/100)*Rout/'4. Current Sense Resistor'!$B$11</f>
        <v>135.14141414141415</v>
      </c>
      <c r="AD58" s="9" t="str">
        <f t="shared" si="0"/>
        <v>0.997885436290819-0.0456292472215858i</v>
      </c>
      <c r="AE58" s="9" t="str">
        <f t="shared" si="8"/>
        <v>0.999998479596879-0.00261797017016128i</v>
      </c>
      <c r="AF58" s="9" t="str">
        <f t="shared" si="1"/>
        <v>18.8014457130025-0.909044253965405i</v>
      </c>
      <c r="AG58" s="9">
        <f t="shared" si="18"/>
        <v>18.823408893041869</v>
      </c>
      <c r="AH58" s="9">
        <f t="shared" si="19"/>
        <v>-4.8312076854265099E-2</v>
      </c>
      <c r="AI58" s="9">
        <f t="shared" si="20"/>
        <v>-2.7680781032610611</v>
      </c>
      <c r="AJ58" s="9">
        <f t="shared" si="21"/>
        <v>25.493965526749797</v>
      </c>
      <c r="AL58" s="9" t="str">
        <f t="shared" si="5"/>
        <v>0.00378192760497411-0.0510693704065175i</v>
      </c>
      <c r="AM58" s="9" t="str">
        <f t="shared" si="6"/>
        <v>0.999999934188054-0.000237386072497137i</v>
      </c>
      <c r="AN58" s="9" t="str">
        <f t="shared" si="10"/>
        <v>-2.39493443218669+32.4446388284013i</v>
      </c>
      <c r="AO58" s="9">
        <f t="shared" si="11"/>
        <v>32.532911023145147</v>
      </c>
      <c r="AP58" s="9">
        <f t="shared" si="12"/>
        <v>1.644478723630951</v>
      </c>
      <c r="AQ58" s="9">
        <f t="shared" si="13"/>
        <v>94.221690363114007</v>
      </c>
      <c r="AR58" s="9">
        <f t="shared" si="14"/>
        <v>30.246458508013468</v>
      </c>
      <c r="AS58" s="9">
        <f t="shared" si="15"/>
        <v>55.740424034763265</v>
      </c>
      <c r="AT58" s="9">
        <f t="shared" si="16"/>
        <v>91.453612259852946</v>
      </c>
    </row>
    <row r="59" spans="25:46" x14ac:dyDescent="0.25">
      <c r="Y59" s="9">
        <v>57</v>
      </c>
      <c r="Z59" s="9">
        <f t="shared" si="7"/>
        <v>33.311214272052936</v>
      </c>
      <c r="AA59" s="9" t="str">
        <f t="shared" si="17"/>
        <v>209.300532078474i</v>
      </c>
      <c r="AB59" s="9">
        <f>(Assumed_Efficiency/100)*Rout/'4. Current Sense Resistor'!$B$11</f>
        <v>135.14141414141415</v>
      </c>
      <c r="AD59" s="9" t="str">
        <f t="shared" si="0"/>
        <v>0.997609310411181-0.0485102604530354i</v>
      </c>
      <c r="AE59" s="9" t="str">
        <f t="shared" si="8"/>
        <v>0.99999828057609-0.0027840484497316i</v>
      </c>
      <c r="AF59" s="9" t="str">
        <f t="shared" si="1"/>
        <v>18.7959448428198-0.966440971877452i</v>
      </c>
      <c r="AG59" s="9">
        <f t="shared" si="18"/>
        <v>18.820774444385858</v>
      </c>
      <c r="AH59" s="9">
        <f t="shared" si="19"/>
        <v>-5.1372285269126558E-2</v>
      </c>
      <c r="AI59" s="9">
        <f t="shared" si="20"/>
        <v>-2.9434151298630424</v>
      </c>
      <c r="AJ59" s="9">
        <f t="shared" si="21"/>
        <v>25.492749799469145</v>
      </c>
      <c r="AL59" s="9" t="str">
        <f t="shared" si="5"/>
        <v>0.00347960251545855-0.0480374745055283i</v>
      </c>
      <c r="AM59" s="9" t="str">
        <f t="shared" si="6"/>
        <v>0.999999925573267-0.000252445331837798i</v>
      </c>
      <c r="AN59" s="9" t="str">
        <f t="shared" si="10"/>
        <v>-2.20286673759658+30.5184807569654i</v>
      </c>
      <c r="AO59" s="9">
        <f t="shared" si="11"/>
        <v>30.597880475236792</v>
      </c>
      <c r="AP59" s="9">
        <f t="shared" si="12"/>
        <v>1.6428527607807819</v>
      </c>
      <c r="AQ59" s="9">
        <f t="shared" si="13"/>
        <v>94.128529554154255</v>
      </c>
      <c r="AR59" s="9">
        <f t="shared" si="14"/>
        <v>29.713826876174231</v>
      </c>
      <c r="AS59" s="9">
        <f t="shared" si="15"/>
        <v>55.206576675643376</v>
      </c>
      <c r="AT59" s="9">
        <f t="shared" si="16"/>
        <v>91.185114424291214</v>
      </c>
    </row>
    <row r="60" spans="25:46" x14ac:dyDescent="0.25">
      <c r="Y60" s="9">
        <v>58</v>
      </c>
      <c r="Z60" s="9">
        <f t="shared" si="7"/>
        <v>35.424406061290533</v>
      </c>
      <c r="AA60" s="9" t="str">
        <f t="shared" si="17"/>
        <v>222.578107679864i</v>
      </c>
      <c r="AB60" s="9">
        <f>(Assumed_Efficiency/100)*Rout/'4. Current Sense Resistor'!$B$11</f>
        <v>135.14141414141415</v>
      </c>
      <c r="AD60" s="9" t="str">
        <f t="shared" si="0"/>
        <v>0.997297226188721-0.0515712911778581i</v>
      </c>
      <c r="AE60" s="9" t="str">
        <f t="shared" si="8"/>
        <v>0.999998055503487-0.00296066235437068i</v>
      </c>
      <c r="AF60" s="9" t="str">
        <f t="shared" si="1"/>
        <v>18.7897276247997-1.02742407380072i</v>
      </c>
      <c r="AG60" s="9">
        <f t="shared" si="18"/>
        <v>18.817796482096043</v>
      </c>
      <c r="AH60" s="9">
        <f t="shared" si="19"/>
        <v>-5.46256953749302E-2</v>
      </c>
      <c r="AI60" s="9">
        <f t="shared" si="20"/>
        <v>-3.1298217979508016</v>
      </c>
      <c r="AJ60" s="9">
        <f t="shared" si="21"/>
        <v>25.491375344955436</v>
      </c>
      <c r="AL60" s="9" t="str">
        <f t="shared" si="5"/>
        <v>0.00321211821505244-0.0451839932876819i</v>
      </c>
      <c r="AM60" s="9" t="str">
        <f t="shared" si="6"/>
        <v>0.999999915830804-0.000268459917687612i</v>
      </c>
      <c r="AN60" s="9" t="str">
        <f t="shared" si="10"/>
        <v>-2.03293345991647+28.7056705613759i</v>
      </c>
      <c r="AO60" s="9">
        <f t="shared" si="11"/>
        <v>28.777566624554812</v>
      </c>
      <c r="AP60" s="9">
        <f t="shared" si="12"/>
        <v>1.6414982094284825</v>
      </c>
      <c r="AQ60" s="9">
        <f t="shared" si="13"/>
        <v>94.050919478533771</v>
      </c>
      <c r="AR60" s="9">
        <f t="shared" si="14"/>
        <v>29.181081361012744</v>
      </c>
      <c r="AS60" s="9">
        <f t="shared" si="15"/>
        <v>54.67245670596818</v>
      </c>
      <c r="AT60" s="9">
        <f t="shared" si="16"/>
        <v>90.921097680582974</v>
      </c>
    </row>
    <row r="61" spans="25:46" x14ac:dyDescent="0.25">
      <c r="Y61" s="9">
        <v>59</v>
      </c>
      <c r="Z61" s="9">
        <f t="shared" si="7"/>
        <v>37.67165419268462</v>
      </c>
      <c r="AA61" s="9" t="str">
        <f t="shared" si="17"/>
        <v>236.697984120626i</v>
      </c>
      <c r="AB61" s="9">
        <f>(Assumed_Efficiency/100)*Rout/'4. Current Sense Resistor'!$B$11</f>
        <v>135.14141414141415</v>
      </c>
      <c r="AD61" s="9" t="str">
        <f t="shared" si="0"/>
        <v>0.996944528481879-0.0548232060088933i</v>
      </c>
      <c r="AE61" s="9" t="str">
        <f t="shared" si="8"/>
        <v>0.999997800968891-0.0031484802366517i</v>
      </c>
      <c r="AF61" s="9" t="str">
        <f t="shared" si="1"/>
        <v>18.782701321058-1.09221004941566i</v>
      </c>
      <c r="AG61" s="9">
        <f t="shared" si="18"/>
        <v>18.814430411471896</v>
      </c>
      <c r="AH61" s="9">
        <f t="shared" si="19"/>
        <v>-5.8084375454222507E-2</v>
      </c>
      <c r="AI61" s="9">
        <f t="shared" si="20"/>
        <v>-3.3279895691802239</v>
      </c>
      <c r="AJ61" s="9">
        <f t="shared" si="21"/>
        <v>25.489821500261854</v>
      </c>
      <c r="AL61" s="9" t="str">
        <f t="shared" si="5"/>
        <v>0.00297547518437788-0.0424986944492851i</v>
      </c>
      <c r="AM61" s="9" t="str">
        <f t="shared" si="6"/>
        <v>0.999999904813053-0.000285490433801352i</v>
      </c>
      <c r="AN61" s="9" t="str">
        <f t="shared" si="10"/>
        <v>-1.88259369698361+26.9997076844462i</v>
      </c>
      <c r="AO61" s="9">
        <f t="shared" si="11"/>
        <v>27.065261389343085</v>
      </c>
      <c r="AP61" s="9">
        <f t="shared" si="12"/>
        <v>1.6404101044952402</v>
      </c>
      <c r="AQ61" s="9">
        <f t="shared" si="13"/>
        <v>93.988575658191621</v>
      </c>
      <c r="AR61" s="9">
        <f t="shared" si="14"/>
        <v>28.648244515037927</v>
      </c>
      <c r="AS61" s="9">
        <f t="shared" si="15"/>
        <v>54.138066015299785</v>
      </c>
      <c r="AT61" s="9">
        <f t="shared" si="16"/>
        <v>90.660586089011403</v>
      </c>
    </row>
    <row r="62" spans="25:46" x14ac:dyDescent="0.25">
      <c r="Y62" s="9">
        <v>60</v>
      </c>
      <c r="Z62" s="9">
        <f t="shared" si="7"/>
        <v>40.061462912259522</v>
      </c>
      <c r="AA62" s="9" t="str">
        <f t="shared" si="17"/>
        <v>251.713595154429i</v>
      </c>
      <c r="AB62" s="9">
        <f>(Assumed_Efficiency/100)*Rout/'4. Current Sense Resistor'!$B$11</f>
        <v>135.14141414141415</v>
      </c>
      <c r="AD62" s="9" t="str">
        <f t="shared" si="0"/>
        <v>0.996545967140437-0.0582774500459428i</v>
      </c>
      <c r="AE62" s="9" t="str">
        <f t="shared" si="8"/>
        <v>0.999997513115732-0.00334821284702058i</v>
      </c>
      <c r="AF62" s="9" t="str">
        <f t="shared" si="1"/>
        <v>18.7747613401841-1.16102691338434i</v>
      </c>
      <c r="AG62" s="9">
        <f t="shared" si="18"/>
        <v>18.810625903315238</v>
      </c>
      <c r="AH62" s="9">
        <f t="shared" si="19"/>
        <v>-6.1761121531073937E-2</v>
      </c>
      <c r="AI62" s="9">
        <f t="shared" si="20"/>
        <v>-3.5386516017250935</v>
      </c>
      <c r="AJ62" s="9">
        <f t="shared" si="21"/>
        <v>25.488064929437773</v>
      </c>
      <c r="AL62" s="9" t="str">
        <f t="shared" si="5"/>
        <v>0.00276612962025086-0.0399718873501453i</v>
      </c>
      <c r="AM62" s="9" t="str">
        <f t="shared" si="6"/>
        <v>0.999999892353077-0.00030360132848452i</v>
      </c>
      <c r="AN62" s="9" t="str">
        <f t="shared" si="10"/>
        <v>-1.74959606396159+25.3944356916211i</v>
      </c>
      <c r="AO62" s="9">
        <f t="shared" si="11"/>
        <v>25.454635147314711</v>
      </c>
      <c r="AP62" s="9">
        <f t="shared" si="12"/>
        <v>1.6395844515301374</v>
      </c>
      <c r="AQ62" s="9">
        <f t="shared" si="13"/>
        <v>93.94126922794878</v>
      </c>
      <c r="AR62" s="9">
        <f t="shared" si="14"/>
        <v>28.115337529613264</v>
      </c>
      <c r="AS62" s="9">
        <f t="shared" si="15"/>
        <v>53.60340245905104</v>
      </c>
      <c r="AT62" s="9">
        <f t="shared" si="16"/>
        <v>90.402617626223687</v>
      </c>
    </row>
    <row r="63" spans="25:46" x14ac:dyDescent="0.25">
      <c r="Y63" s="9">
        <v>61</v>
      </c>
      <c r="Z63" s="9">
        <f t="shared" si="7"/>
        <v>42.602875957116908</v>
      </c>
      <c r="AA63" s="9" t="str">
        <f t="shared" si="17"/>
        <v>267.681764257351i</v>
      </c>
      <c r="AB63" s="9">
        <f>(Assumed_Efficiency/100)*Rout/'4. Current Sense Resistor'!$B$11</f>
        <v>135.14141414141415</v>
      </c>
      <c r="AD63" s="9" t="str">
        <f t="shared" si="0"/>
        <v>0.996095623076523-0.0619460615559809i</v>
      </c>
      <c r="AE63" s="9" t="str">
        <f t="shared" si="8"/>
        <v>0.999997187582619-0.00356061602322783i</v>
      </c>
      <c r="AF63" s="9" t="str">
        <f t="shared" si="1"/>
        <v>18.7657897644564-1.23411449784191i</v>
      </c>
      <c r="AG63" s="9">
        <f t="shared" si="18"/>
        <v>18.806326171731687</v>
      </c>
      <c r="AH63" s="9">
        <f t="shared" si="19"/>
        <v>-6.5669495960164775E-2</v>
      </c>
      <c r="AI63" s="9">
        <f t="shared" si="20"/>
        <v>-3.7625849612688516</v>
      </c>
      <c r="AJ63" s="9">
        <f t="shared" si="21"/>
        <v>25.486079282429674</v>
      </c>
      <c r="AL63" s="9" t="str">
        <f t="shared" si="5"/>
        <v>0.00258094225322484-0.0375944021547647i</v>
      </c>
      <c r="AM63" s="9" t="str">
        <f t="shared" si="6"/>
        <v>0.99999987826209-0.000322861138479081i</v>
      </c>
      <c r="AN63" s="9" t="str">
        <f t="shared" si="10"/>
        <v>-1.63194617702935+23.8840290195173i</v>
      </c>
      <c r="AO63" s="9">
        <f t="shared" si="11"/>
        <v>23.939717845661114</v>
      </c>
      <c r="AP63" s="9">
        <f t="shared" si="12"/>
        <v>1.6390182157508413</v>
      </c>
      <c r="AQ63" s="9">
        <f t="shared" si="13"/>
        <v>93.908826307585798</v>
      </c>
      <c r="AR63" s="9">
        <f t="shared" si="14"/>
        <v>27.582380549816744</v>
      </c>
      <c r="AS63" s="9">
        <f t="shared" si="15"/>
        <v>53.068459832246418</v>
      </c>
      <c r="AT63" s="9">
        <f t="shared" si="16"/>
        <v>90.146241346316941</v>
      </c>
    </row>
    <row r="64" spans="25:46" x14ac:dyDescent="0.25">
      <c r="Y64" s="9">
        <v>62</v>
      </c>
      <c r="Z64" s="9">
        <f t="shared" si="7"/>
        <v>45.305510779589277</v>
      </c>
      <c r="AA64" s="9" t="str">
        <f t="shared" si="17"/>
        <v>284.662919664582i</v>
      </c>
      <c r="AB64" s="9">
        <f>(Assumed_Efficiency/100)*Rout/'4. Current Sense Resistor'!$B$11</f>
        <v>135.14141414141415</v>
      </c>
      <c r="AD64" s="9" t="str">
        <f t="shared" si="0"/>
        <v>0.995586825742374-0.0658416832825263i</v>
      </c>
      <c r="AE64" s="9" t="str">
        <f t="shared" si="8"/>
        <v>0.999996819437255-0.00378649355033208i</v>
      </c>
      <c r="AF64" s="9" t="str">
        <f t="shared" si="1"/>
        <v>18.7556537058666-1.31172467773789i</v>
      </c>
      <c r="AG64" s="9">
        <f t="shared" si="18"/>
        <v>18.801467165212774</v>
      </c>
      <c r="AH64" s="9">
        <f t="shared" si="19"/>
        <v>-6.9823866961086695E-2</v>
      </c>
      <c r="AI64" s="9">
        <f t="shared" si="20"/>
        <v>-4.0006128861532169</v>
      </c>
      <c r="AJ64" s="9">
        <f t="shared" si="21"/>
        <v>25.483834811756768</v>
      </c>
      <c r="AL64" s="9" t="str">
        <f t="shared" si="5"/>
        <v>0.0024171327506974-0.035357568321541i</v>
      </c>
      <c r="AM64" s="9" t="str">
        <f t="shared" si="6"/>
        <v>0.999999862326593-0.000343342748319948i</v>
      </c>
      <c r="AN64" s="9" t="str">
        <f t="shared" si="10"/>
        <v>-1.52787768558845+22.462979310262i</v>
      </c>
      <c r="AO64" s="9">
        <f t="shared" si="11"/>
        <v>22.514880628494964</v>
      </c>
      <c r="AP64" s="9">
        <f t="shared" si="12"/>
        <v>1.6387093135876456</v>
      </c>
      <c r="AQ64" s="9">
        <f t="shared" si="13"/>
        <v>93.891127517352231</v>
      </c>
      <c r="AR64" s="9">
        <f t="shared" si="14"/>
        <v>27.049392974437069</v>
      </c>
      <c r="AS64" s="9">
        <f t="shared" si="15"/>
        <v>52.533227786193834</v>
      </c>
      <c r="AT64" s="9">
        <f t="shared" si="16"/>
        <v>89.890514631199011</v>
      </c>
    </row>
    <row r="65" spans="25:46" x14ac:dyDescent="0.25">
      <c r="Y65" s="9">
        <v>63</v>
      </c>
      <c r="Z65" s="9">
        <f t="shared" si="7"/>
        <v>48.179594942500358</v>
      </c>
      <c r="AA65" s="9" t="str">
        <f t="shared" si="17"/>
        <v>302.721323048582i</v>
      </c>
      <c r="AB65" s="9">
        <f>(Assumed_Efficiency/100)*Rout/'4. Current Sense Resistor'!$B$11</f>
        <v>135.14141414141415</v>
      </c>
      <c r="AD65" s="9" t="str">
        <f t="shared" si="0"/>
        <v>0.995012061183599-0.0699775693549754i</v>
      </c>
      <c r="AE65" s="9" t="str">
        <f t="shared" si="8"/>
        <v>0.999996403101706-0.00402670020208772i</v>
      </c>
      <c r="AF65" s="9" t="str">
        <f t="shared" si="1"/>
        <v>18.7442034743935-1.39412150852447i</v>
      </c>
      <c r="AG65" s="9">
        <f t="shared" si="18"/>
        <v>18.79597666177515</v>
      </c>
      <c r="AH65" s="9">
        <f t="shared" si="19"/>
        <v>-7.4239448864930196E-2</v>
      </c>
      <c r="AI65" s="9">
        <f t="shared" si="20"/>
        <v>-4.2536070933377896</v>
      </c>
      <c r="AJ65" s="9">
        <f t="shared" si="21"/>
        <v>25.481297942097491</v>
      </c>
      <c r="AL65" s="9" t="str">
        <f t="shared" si="5"/>
        <v>0.00227223913207083-0.0332531927895658i</v>
      </c>
      <c r="AM65" s="9" t="str">
        <f t="shared" si="6"/>
        <v>0.99999984430514-0.000365123666143398i</v>
      </c>
      <c r="AN65" s="9" t="str">
        <f t="shared" si="10"/>
        <v>-1.43582648863717+21.1260815537274i</v>
      </c>
      <c r="AO65" s="9">
        <f t="shared" si="11"/>
        <v>21.174818051643641</v>
      </c>
      <c r="AP65" s="9">
        <f t="shared" si="12"/>
        <v>1.6386566067989501</v>
      </c>
      <c r="AQ65" s="9">
        <f t="shared" si="13"/>
        <v>93.888107640808272</v>
      </c>
      <c r="AR65" s="9">
        <f t="shared" si="14"/>
        <v>26.516393745337862</v>
      </c>
      <c r="AS65" s="9">
        <f t="shared" si="15"/>
        <v>51.997691687435349</v>
      </c>
      <c r="AT65" s="9">
        <f t="shared" si="16"/>
        <v>89.634500547470481</v>
      </c>
    </row>
    <row r="66" spans="25:46" x14ac:dyDescent="0.25">
      <c r="Y66" s="9">
        <v>64</v>
      </c>
      <c r="Z66" s="9">
        <f t="shared" si="7"/>
        <v>51.236004823262483</v>
      </c>
      <c r="AA66" s="9" t="str">
        <f t="shared" si="17"/>
        <v>321.925312704105i</v>
      </c>
      <c r="AB66" s="9">
        <f>(Assumed_Efficiency/100)*Rout/'4. Current Sense Resistor'!$B$11</f>
        <v>135.14141414141415</v>
      </c>
      <c r="AD66" s="9" t="str">
        <f t="shared" ref="AD66:AD129" si="22">IMDIV(IMSUM(1,IMDIV(AA66,$W$4)),IMSUM(1,IMDIV(AA66,$W$6)))</f>
        <v>0.994362869805978-0.0743675865579542i</v>
      </c>
      <c r="AE66" s="9" t="str">
        <f t="shared" si="8"/>
        <v>0.999995932267892-0.00428214497521383i</v>
      </c>
      <c r="AF66" s="9" t="str">
        <f t="shared" ref="AF66:AF129" si="23">IF(D_&lt;Dmax,IMPRODUCT(AB66,AC$2,AD66,AE66),0)</f>
        <v>18.7312705413534-1.48158125149004i</v>
      </c>
      <c r="AG66" s="9">
        <f t="shared" si="18"/>
        <v>18.789773258295067</v>
      </c>
      <c r="AH66" s="9">
        <f t="shared" si="19"/>
        <v>-7.8932342770172928E-2</v>
      </c>
      <c r="AI66" s="9">
        <f t="shared" si="20"/>
        <v>-4.5224901078108655</v>
      </c>
      <c r="AJ66" s="9">
        <f t="shared" si="21"/>
        <v>25.478430787465097</v>
      </c>
      <c r="AL66" s="9" t="str">
        <f t="shared" ref="AL66:AL129" si="24">IMDIV(IMSUM(1,IMDIV(AA66,wz1e)),IMSUM(1,IMDIV(AA66,wp1e)))</f>
        <v>0.00214408167318106-0.0312735381417164i</v>
      </c>
      <c r="AM66" s="9" t="str">
        <f t="shared" ref="AM66:AM129" si="25">IMDIV(IMSUM(1,IMDIV(AA66,wz2e)),IMSUM(1,IMDIV(AA66,wp2e)))</f>
        <v>0.999999823924677-0.000388286316990971i</v>
      </c>
      <c r="AN66" s="9" t="str">
        <f t="shared" si="10"/>
        <v>-1.35440780318483+19.8684202147164i</v>
      </c>
      <c r="AO66" s="9">
        <f t="shared" si="11"/>
        <v>19.914530934116407</v>
      </c>
      <c r="AP66" s="9">
        <f t="shared" si="12"/>
        <v>1.6388598992021066</v>
      </c>
      <c r="AQ66" s="9">
        <f t="shared" si="13"/>
        <v>93.89975543751622</v>
      </c>
      <c r="AR66" s="9">
        <f t="shared" si="14"/>
        <v>25.983401630298353</v>
      </c>
      <c r="AS66" s="9">
        <f t="shared" si="15"/>
        <v>51.461832417763446</v>
      </c>
      <c r="AT66" s="9">
        <f t="shared" si="16"/>
        <v>89.377265329705352</v>
      </c>
    </row>
    <row r="67" spans="25:46" x14ac:dyDescent="0.25">
      <c r="Y67" s="9">
        <v>65</v>
      </c>
      <c r="Z67" s="9">
        <f t="shared" ref="Z67:Z130" si="26">10^(LOG($F$3/$F$2,10)*Y67/200)</f>
        <v>54.486306773278585</v>
      </c>
      <c r="AA67" s="9" t="str">
        <f t="shared" si="17"/>
        <v>342.347562160344i</v>
      </c>
      <c r="AB67" s="9">
        <f>(Assumed_Efficiency/100)*Rout/'4. Current Sense Resistor'!$B$11</f>
        <v>135.14141414141415</v>
      </c>
      <c r="AD67" s="9" t="str">
        <f t="shared" si="22"/>
        <v>0.99362973297913-0.0790262084739732i</v>
      </c>
      <c r="AE67" s="9" t="str">
        <f t="shared" ref="AE67:AE130" si="27">IMDIV(IMSUM(1,IMDIV(IMPRODUCT(-1,AA67),$W$5)),IMSUM(1,IMDIV(AA67,$W$2*$W$3),IMDIV(IMPOWER(AA67,2),$W$2^2)))</f>
        <v>0.999995399802013-0.00455379452876822i</v>
      </c>
      <c r="AF67" s="9" t="str">
        <f t="shared" si="23"/>
        <v>18.7166652803629-1.57439225712068i</v>
      </c>
      <c r="AG67" s="9">
        <f t="shared" si="18"/>
        <v>18.782765243606267</v>
      </c>
      <c r="AH67" s="9">
        <f t="shared" si="19"/>
        <v>-8.3919577220672489E-2</v>
      </c>
      <c r="AI67" s="9">
        <f t="shared" si="20"/>
        <v>-4.8082375932667372</v>
      </c>
      <c r="AJ67" s="9">
        <f t="shared" si="21"/>
        <v>25.475190610181269</v>
      </c>
      <c r="AL67" s="9" t="str">
        <f t="shared" si="24"/>
        <v>0.00203073082539843-0.029411300963908i</v>
      </c>
      <c r="AM67" s="9" t="str">
        <f t="shared" si="25"/>
        <v>0.999999800876413-0.00041291835471839i</v>
      </c>
      <c r="AN67" s="9" t="str">
        <f t="shared" ref="AN67:AN130" si="28">IMPRODUCT($AK$2,AL67,AM67)</f>
        <v>-1.28239578319418+18.6853554847835i</v>
      </c>
      <c r="AO67" s="9">
        <f t="shared" ref="AO67:AO130" si="29">IMABS(AN67)</f>
        <v>18.729309878836517</v>
      </c>
      <c r="AP67" s="9">
        <f t="shared" ref="AP67:AP130" si="30">IMARGUMENT(AN67)</f>
        <v>1.6393199360416733</v>
      </c>
      <c r="AQ67" s="9">
        <f t="shared" ref="AQ67:AQ130" si="31">AP67/(PI())*180</f>
        <v>93.926113606843927</v>
      </c>
      <c r="AR67" s="9">
        <f t="shared" ref="AR67:AR130" si="32">20*LOG(AO67,10)</f>
        <v>25.450435503367096</v>
      </c>
      <c r="AS67" s="9">
        <f t="shared" ref="AS67:AS130" si="33">AR67+AJ67</f>
        <v>50.925626113548361</v>
      </c>
      <c r="AT67" s="9">
        <f t="shared" ref="AT67:AT130" si="34">AQ67+AI67</f>
        <v>89.117876013577188</v>
      </c>
    </row>
    <row r="68" spans="25:46" x14ac:dyDescent="0.25">
      <c r="Y68" s="9">
        <v>66</v>
      </c>
      <c r="Z68" s="9">
        <f t="shared" si="26"/>
        <v>57.94280088840825</v>
      </c>
      <c r="AA68" s="9" t="str">
        <f t="shared" ref="AA68:AA131" si="35">IMPRODUCT(COMPLEX(0,1),2*PI()*Z68)</f>
        <v>364.065355198879i</v>
      </c>
      <c r="AB68" s="9">
        <f>(Assumed_Efficiency/100)*Rout/'4. Current Sense Resistor'!$B$11</f>
        <v>135.14141414141415</v>
      </c>
      <c r="AD68" s="9" t="str">
        <f t="shared" si="22"/>
        <v>0.992801947608834-0.0839685007253239i</v>
      </c>
      <c r="AE68" s="9" t="str">
        <f t="shared" si="27"/>
        <v>0.999994797636457-0.00484267684162398i</v>
      </c>
      <c r="AF68" s="9" t="str">
        <f t="shared" si="23"/>
        <v>18.7001744686182-1.6728546711474i</v>
      </c>
      <c r="AG68" s="9">
        <f t="shared" si="18"/>
        <v>18.774849344469843</v>
      </c>
      <c r="AH68" s="9">
        <f t="shared" si="19"/>
        <v>-8.9219148417716346E-2</v>
      </c>
      <c r="AI68" s="9">
        <f t="shared" si="20"/>
        <v>-5.1118806560864432</v>
      </c>
      <c r="AJ68" s="9">
        <f t="shared" si="21"/>
        <v>25.471529215385182</v>
      </c>
      <c r="AL68" s="9" t="str">
        <f t="shared" si="24"/>
        <v>0.00193047872004292-0.027659590571704i</v>
      </c>
      <c r="AM68" s="9" t="str">
        <f t="shared" si="25"/>
        <v>0.99999977481113-0.000439112993689517i</v>
      </c>
      <c r="AN68" s="9" t="str">
        <f t="shared" si="28"/>
        <v>-1.21870541628027+17.5725097674536i</v>
      </c>
      <c r="AO68" s="9">
        <f t="shared" si="29"/>
        <v>17.614719481698341</v>
      </c>
      <c r="AP68" s="9">
        <f t="shared" si="30"/>
        <v>1.6400384059963335</v>
      </c>
      <c r="AQ68" s="9">
        <f t="shared" si="31"/>
        <v>93.967278902952927</v>
      </c>
      <c r="AR68" s="9">
        <f t="shared" si="32"/>
        <v>24.917514626734047</v>
      </c>
      <c r="AS68" s="9">
        <f t="shared" si="33"/>
        <v>50.389043842119229</v>
      </c>
      <c r="AT68" s="9">
        <f t="shared" si="34"/>
        <v>88.855398246866486</v>
      </c>
    </row>
    <row r="69" spans="25:46" x14ac:dyDescent="0.25">
      <c r="Y69" s="9">
        <v>67</v>
      </c>
      <c r="Z69" s="9">
        <f t="shared" si="26"/>
        <v>61.61856755613799</v>
      </c>
      <c r="AA69" s="9" t="str">
        <f t="shared" si="35"/>
        <v>387.160878318179i</v>
      </c>
      <c r="AB69" s="9">
        <f>(Assumed_Efficiency/100)*Rout/'4. Current Sense Resistor'!$B$11</f>
        <v>135.14141414141415</v>
      </c>
      <c r="AD69" s="9" t="str">
        <f t="shared" si="22"/>
        <v>0.991867487850198-0.0892100952086454i</v>
      </c>
      <c r="AE69" s="9" t="str">
        <f t="shared" si="27"/>
        <v>0.999994116647569-0.00514988510186774i</v>
      </c>
      <c r="AF69" s="9" t="str">
        <f t="shared" si="23"/>
        <v>18.6815585319989-1.77727992131332i</v>
      </c>
      <c r="AG69" s="9">
        <f t="shared" si="18"/>
        <v>18.765909333235211</v>
      </c>
      <c r="AH69" s="9">
        <f t="shared" si="19"/>
        <v>-9.4850059358031577E-2</v>
      </c>
      <c r="AI69" s="9">
        <f t="shared" si="20"/>
        <v>-5.4345080877805483</v>
      </c>
      <c r="AJ69" s="9">
        <f t="shared" si="21"/>
        <v>25.467392274356278</v>
      </c>
      <c r="AL69" s="9" t="str">
        <f t="shared" si="24"/>
        <v>0.0018418138708371-0.0260119082353859i</v>
      </c>
      <c r="AM69" s="9" t="str">
        <f t="shared" si="25"/>
        <v>0.999999745333902-0.000466969361510077i</v>
      </c>
      <c r="AN69" s="9" t="str">
        <f t="shared" si="28"/>
        <v>-1.1623764521282+16.5257544801274i</v>
      </c>
      <c r="AO69" s="9">
        <f t="shared" si="29"/>
        <v>16.566583237164899</v>
      </c>
      <c r="AP69" s="9">
        <f t="shared" si="30"/>
        <v>1.6410179458051497</v>
      </c>
      <c r="AQ69" s="9">
        <f t="shared" si="31"/>
        <v>94.02340239986313</v>
      </c>
      <c r="AR69" s="9">
        <f t="shared" si="32"/>
        <v>24.38465893814444</v>
      </c>
      <c r="AS69" s="9">
        <f t="shared" si="33"/>
        <v>49.852051212500719</v>
      </c>
      <c r="AT69" s="9">
        <f t="shared" si="34"/>
        <v>88.588894312082587</v>
      </c>
    </row>
    <row r="70" spans="25:46" x14ac:dyDescent="0.25">
      <c r="Y70" s="9">
        <v>68</v>
      </c>
      <c r="Z70" s="9">
        <f t="shared" si="26"/>
        <v>65.527516955603716</v>
      </c>
      <c r="AA70" s="9" t="str">
        <f t="shared" si="35"/>
        <v>411.72153175141i</v>
      </c>
      <c r="AB70" s="9">
        <f>(Assumed_Efficiency/100)*Rout/'4. Current Sense Resistor'!$B$11</f>
        <v>135.14141414141415</v>
      </c>
      <c r="AD70" s="9" t="str">
        <f t="shared" si="22"/>
        <v>0.990812853217811-0.0947671508336419i</v>
      </c>
      <c r="AE70" s="9" t="str">
        <f t="shared" si="27"/>
        <v>0.999993346517422-0.00547658184281142i</v>
      </c>
      <c r="AF70" s="9" t="str">
        <f t="shared" si="23"/>
        <v>18.6605485191782-1.88798993528564i</v>
      </c>
      <c r="AG70" s="9">
        <f t="shared" si="18"/>
        <v>18.755814485975904</v>
      </c>
      <c r="AH70" s="9">
        <f t="shared" si="19"/>
        <v>-0.10083235714732973</v>
      </c>
      <c r="AI70" s="9">
        <f t="shared" si="20"/>
        <v>-5.7772685028977744</v>
      </c>
      <c r="AJ70" s="9">
        <f t="shared" si="21"/>
        <v>25.462718569504897</v>
      </c>
      <c r="AL70" s="9" t="str">
        <f t="shared" si="24"/>
        <v>0.00176339872596235-0.0244621270016673i</v>
      </c>
      <c r="AM70" s="9" t="str">
        <f t="shared" si="25"/>
        <v>0.999999711998106-0.000496592874135411i</v>
      </c>
      <c r="AN70" s="9" t="str">
        <f t="shared" si="28"/>
        <v>-1.11255914126856+15.5411972350539i</v>
      </c>
      <c r="AO70" s="9">
        <f t="shared" si="29"/>
        <v>15.58096914000112</v>
      </c>
      <c r="AP70" s="9">
        <f t="shared" si="30"/>
        <v>1.6422621474722261</v>
      </c>
      <c r="AQ70" s="9">
        <f t="shared" si="31"/>
        <v>94.094689904249748</v>
      </c>
      <c r="AR70" s="9">
        <f t="shared" si="32"/>
        <v>23.851889347943505</v>
      </c>
      <c r="AS70" s="9">
        <f t="shared" si="33"/>
        <v>49.314607917448399</v>
      </c>
      <c r="AT70" s="9">
        <f t="shared" si="34"/>
        <v>88.317421401351979</v>
      </c>
    </row>
    <row r="71" spans="25:46" x14ac:dyDescent="0.25">
      <c r="Y71" s="9">
        <v>69</v>
      </c>
      <c r="Z71" s="9">
        <f t="shared" si="26"/>
        <v>69.684441697788372</v>
      </c>
      <c r="AA71" s="9" t="str">
        <f t="shared" si="35"/>
        <v>437.840260214556i</v>
      </c>
      <c r="AB71" s="9">
        <f>(Assumed_Efficiency/100)*Rout/'4. Current Sense Resistor'!$B$11</f>
        <v>135.14141414141415</v>
      </c>
      <c r="AD71" s="9" t="str">
        <f t="shared" si="22"/>
        <v>0.989622902490549-0.100656297842492i</v>
      </c>
      <c r="AE71" s="9" t="str">
        <f t="shared" si="27"/>
        <v>0.999992475577481-0.00582400334123773i</v>
      </c>
      <c r="AF71" s="9" t="str">
        <f t="shared" si="23"/>
        <v>18.6368427927397-2.00531603147268i</v>
      </c>
      <c r="AG71" s="9">
        <f t="shared" si="18"/>
        <v>18.744417880195027</v>
      </c>
      <c r="AH71" s="9">
        <f t="shared" si="19"/>
        <v>-0.10718716757129032</v>
      </c>
      <c r="AI71" s="9">
        <f t="shared" si="20"/>
        <v>-6.1413723197964574</v>
      </c>
      <c r="AJ71" s="9">
        <f t="shared" si="21"/>
        <v>25.457439153519296</v>
      </c>
      <c r="AL71" s="9" t="str">
        <f t="shared" si="24"/>
        <v>0.00169404975691713-0.0230044721833291i</v>
      </c>
      <c r="AM71" s="9" t="str">
        <f t="shared" si="25"/>
        <v>0.999999674298656-0.000528095634771117i</v>
      </c>
      <c r="AN71" s="9" t="str">
        <f t="shared" si="28"/>
        <v>-1.06850158548731+14.6151694446501i</v>
      </c>
      <c r="AO71" s="9">
        <f t="shared" si="29"/>
        <v>14.654175975947018</v>
      </c>
      <c r="AP71" s="9">
        <f t="shared" si="30"/>
        <v>1.6437755679853738</v>
      </c>
      <c r="AQ71" s="9">
        <f t="shared" si="31"/>
        <v>94.181402512281636</v>
      </c>
      <c r="AR71" s="9">
        <f t="shared" si="32"/>
        <v>23.319228049947345</v>
      </c>
      <c r="AS71" s="9">
        <f t="shared" si="33"/>
        <v>48.776667203466644</v>
      </c>
      <c r="AT71" s="9">
        <f t="shared" si="34"/>
        <v>88.040030192485176</v>
      </c>
    </row>
    <row r="72" spans="25:46" x14ac:dyDescent="0.25">
      <c r="Y72" s="9">
        <v>70</v>
      </c>
      <c r="Z72" s="9">
        <f t="shared" si="26"/>
        <v>74.105072805100434</v>
      </c>
      <c r="AA72" s="9" t="str">
        <f t="shared" si="35"/>
        <v>465.615904636481i</v>
      </c>
      <c r="AB72" s="9">
        <f>(Assumed_Efficiency/100)*Rout/'4. Current Sense Resistor'!$B$11</f>
        <v>135.14141414141415</v>
      </c>
      <c r="AD72" s="9" t="str">
        <f t="shared" si="22"/>
        <v>0.988280673025742-0.106894562296289i</v>
      </c>
      <c r="AE72" s="9" t="str">
        <f t="shared" si="27"/>
        <v>0.99999149063182-0.0061934642944854i</v>
      </c>
      <c r="AF72" s="9" t="str">
        <f t="shared" si="23"/>
        <v>18.6101034296243-2.1295974147407i</v>
      </c>
      <c r="AG72" s="9">
        <f t="shared" si="18"/>
        <v>18.731554521987341</v>
      </c>
      <c r="AH72" s="9">
        <f t="shared" si="19"/>
        <v>-0.11393672580938484</v>
      </c>
      <c r="AI72" s="9">
        <f t="shared" si="20"/>
        <v>-6.5280935204170296</v>
      </c>
      <c r="AJ72" s="9">
        <f t="shared" si="21"/>
        <v>25.451476414890099</v>
      </c>
      <c r="AL72" s="9" t="str">
        <f t="shared" si="24"/>
        <v>0.00163271980389633-0.02163350256617i</v>
      </c>
      <c r="AM72" s="9" t="str">
        <f t="shared" si="25"/>
        <v>0.999999631664349-0.000561596858075279i</v>
      </c>
      <c r="AN72" s="9" t="str">
        <f t="shared" si="28"/>
        <v>-1.02953852180709+13.7442143825524i</v>
      </c>
      <c r="AO72" s="9">
        <f t="shared" si="29"/>
        <v>13.782720288877844</v>
      </c>
      <c r="AP72" s="9">
        <f t="shared" si="30"/>
        <v>1.6455637414577222</v>
      </c>
      <c r="AQ72" s="9">
        <f t="shared" si="31"/>
        <v>94.283857305284471</v>
      </c>
      <c r="AR72" s="9">
        <f t="shared" si="32"/>
        <v>22.78669885049505</v>
      </c>
      <c r="AS72" s="9">
        <f t="shared" si="33"/>
        <v>48.238175265385152</v>
      </c>
      <c r="AT72" s="9">
        <f t="shared" si="34"/>
        <v>87.75576378486744</v>
      </c>
    </row>
    <row r="73" spans="25:46" x14ac:dyDescent="0.25">
      <c r="Y73" s="9">
        <v>71</v>
      </c>
      <c r="Z73" s="9">
        <f t="shared" si="26"/>
        <v>78.806139242176371</v>
      </c>
      <c r="AA73" s="9" t="str">
        <f t="shared" si="35"/>
        <v>495.153576201991i</v>
      </c>
      <c r="AB73" s="9">
        <f>(Assumed_Efficiency/100)*Rout/'4. Current Sense Resistor'!$B$11</f>
        <v>135.14141414141415</v>
      </c>
      <c r="AD73" s="9" t="str">
        <f t="shared" si="22"/>
        <v>0.986767185411382-0.113499266769395i</v>
      </c>
      <c r="AE73" s="9" t="str">
        <f t="shared" si="27"/>
        <v>0.999990376757186-0.00658636279402732i</v>
      </c>
      <c r="AF73" s="9" t="str">
        <f t="shared" si="23"/>
        <v>18.5799523294878-2.26117919815889i</v>
      </c>
      <c r="AG73" s="9">
        <f t="shared" si="18"/>
        <v>18.717039293975571</v>
      </c>
      <c r="AH73" s="9">
        <f t="shared" si="19"/>
        <v>-0.12110440194823686</v>
      </c>
      <c r="AI73" s="9">
        <f t="shared" si="20"/>
        <v>-6.9387711120898761</v>
      </c>
      <c r="AJ73" s="9">
        <f t="shared" si="21"/>
        <v>25.444743041908723</v>
      </c>
      <c r="AL73" s="9" t="str">
        <f t="shared" si="24"/>
        <v>0.00157848242696153-0.0203440923649561i</v>
      </c>
      <c r="AM73" s="9" t="str">
        <f t="shared" si="25"/>
        <v>0.999999583449214-0.00059722332126661i</v>
      </c>
      <c r="AN73" s="9" t="str">
        <f t="shared" si="28"/>
        <v>-0.995081380750428+12.9250757205271i</v>
      </c>
      <c r="AO73" s="9">
        <f t="shared" si="29"/>
        <v>12.963324007972467</v>
      </c>
      <c r="AP73" s="9">
        <f t="shared" si="30"/>
        <v>1.6476331935703279</v>
      </c>
      <c r="AQ73" s="9">
        <f t="shared" si="31"/>
        <v>94.402428177241205</v>
      </c>
      <c r="AR73" s="9">
        <f t="shared" si="32"/>
        <v>22.254327520233666</v>
      </c>
      <c r="AS73" s="9">
        <f t="shared" si="33"/>
        <v>47.699070562142388</v>
      </c>
      <c r="AT73" s="9">
        <f t="shared" si="34"/>
        <v>87.463657065151324</v>
      </c>
    </row>
    <row r="74" spans="25:46" x14ac:dyDescent="0.25">
      <c r="Y74" s="9">
        <v>72</v>
      </c>
      <c r="Z74" s="9">
        <f t="shared" si="26"/>
        <v>83.805431223189501</v>
      </c>
      <c r="AA74" s="9" t="str">
        <f t="shared" si="35"/>
        <v>526.565054123394i</v>
      </c>
      <c r="AB74" s="9">
        <f>(Assumed_Efficiency/100)*Rout/'4. Current Sense Resistor'!$B$11</f>
        <v>135.14141414141415</v>
      </c>
      <c r="AD74" s="9" t="str">
        <f t="shared" si="22"/>
        <v>0.985061233822341-0.120487902695091i</v>
      </c>
      <c r="AE74" s="9" t="str">
        <f t="shared" si="27"/>
        <v>0.999989117076898-0.0070041856143081i</v>
      </c>
      <c r="AF74" s="9" t="str">
        <f t="shared" si="23"/>
        <v>18.5459670382589-2.40040985999772i</v>
      </c>
      <c r="AG74" s="9">
        <f t="shared" si="18"/>
        <v>18.700664717601885</v>
      </c>
      <c r="AH74" s="9">
        <f t="shared" si="19"/>
        <v>-0.12871471968684706</v>
      </c>
      <c r="AI74" s="9">
        <f t="shared" si="20"/>
        <v>-7.3748101992657853</v>
      </c>
      <c r="AJ74" s="9">
        <f t="shared" si="21"/>
        <v>25.437140877313741</v>
      </c>
      <c r="AL74" s="9" t="str">
        <f t="shared" si="24"/>
        <v>0.0015305180390266-0.0191314139458161i</v>
      </c>
      <c r="AM74" s="9" t="str">
        <f t="shared" si="25"/>
        <v>0.999999528922721-0.000635109843844442i</v>
      </c>
      <c r="AN74" s="9" t="str">
        <f t="shared" si="28"/>
        <v>-0.964609476592665+12.1546865523268i</v>
      </c>
      <c r="AO74" s="9">
        <f t="shared" si="29"/>
        <v>12.192902715417945</v>
      </c>
      <c r="AP74" s="9">
        <f t="shared" si="30"/>
        <v>1.6499914581573134</v>
      </c>
      <c r="AQ74" s="9">
        <f t="shared" si="31"/>
        <v>94.537546785050623</v>
      </c>
      <c r="AR74" s="9">
        <f t="shared" si="32"/>
        <v>21.722142173433568</v>
      </c>
      <c r="AS74" s="9">
        <f t="shared" si="33"/>
        <v>47.159283050747305</v>
      </c>
      <c r="AT74" s="9">
        <f t="shared" si="34"/>
        <v>87.162736585784842</v>
      </c>
    </row>
    <row r="75" spans="25:46" x14ac:dyDescent="0.25">
      <c r="Y75" s="9">
        <v>73</v>
      </c>
      <c r="Z75" s="9">
        <f t="shared" si="26"/>
        <v>89.121867535237712</v>
      </c>
      <c r="AA75" s="9" t="str">
        <f t="shared" si="35"/>
        <v>559.969208645811i</v>
      </c>
      <c r="AB75" s="9">
        <f>(Assumed_Efficiency/100)*Rout/'4. Current Sense Resistor'!$B$11</f>
        <v>135.14141414141415</v>
      </c>
      <c r="AD75" s="9" t="str">
        <f t="shared" si="22"/>
        <v>0.983139163038014-0.127877969164701i</v>
      </c>
      <c r="AE75" s="9" t="str">
        <f t="shared" si="27"/>
        <v>0.99998769250516-0.00744851383678842i</v>
      </c>
      <c r="AF75" s="9" t="str">
        <f t="shared" si="23"/>
        <v>18.5076763059707-2.54763803243211i</v>
      </c>
      <c r="AG75" s="9">
        <f t="shared" si="18"/>
        <v>18.682198526696041</v>
      </c>
      <c r="AH75" s="9">
        <f t="shared" si="19"/>
        <v>-0.13679336632311093</v>
      </c>
      <c r="AI75" s="9">
        <f t="shared" si="20"/>
        <v>-7.8376825557012646</v>
      </c>
      <c r="AJ75" s="9">
        <f t="shared" si="21"/>
        <v>25.42855965611399</v>
      </c>
      <c r="AL75" s="9" t="str">
        <f t="shared" si="24"/>
        <v>0.00148810162083131-0.0179909213211744i</v>
      </c>
      <c r="AM75" s="9" t="str">
        <f t="shared" si="25"/>
        <v>0.999999467258716-0.000675399797734488i</v>
      </c>
      <c r="AN75" s="9" t="str">
        <f t="shared" si="28"/>
        <v>-0.937662202653944+11.4301589083634i</v>
      </c>
      <c r="AO75" s="9">
        <f t="shared" si="29"/>
        <v>11.468554533014393</v>
      </c>
      <c r="AP75" s="9">
        <f t="shared" si="30"/>
        <v>1.6526470957315114</v>
      </c>
      <c r="AQ75" s="9">
        <f t="shared" si="31"/>
        <v>94.689703609968532</v>
      </c>
      <c r="AR75" s="9">
        <f t="shared" si="32"/>
        <v>21.190173679918146</v>
      </c>
      <c r="AS75" s="9">
        <f t="shared" si="33"/>
        <v>46.618733336032136</v>
      </c>
      <c r="AT75" s="9">
        <f t="shared" si="34"/>
        <v>86.852021054267269</v>
      </c>
    </row>
    <row r="76" spans="25:46" x14ac:dyDescent="0.25">
      <c r="Y76" s="9">
        <v>74</v>
      </c>
      <c r="Z76" s="9">
        <f t="shared" si="26"/>
        <v>94.775567132582992</v>
      </c>
      <c r="AA76" s="9" t="str">
        <f t="shared" si="35"/>
        <v>595.492450887058i</v>
      </c>
      <c r="AB76" s="9">
        <f>(Assumed_Efficiency/100)*Rout/'4. Current Sense Resistor'!$B$11</f>
        <v>135.14141414141415</v>
      </c>
      <c r="AD76" s="9" t="str">
        <f t="shared" si="22"/>
        <v>0.98097463386083-0.135686772312462i</v>
      </c>
      <c r="AE76" s="9" t="str">
        <f t="shared" si="27"/>
        <v>0.999986081457883-0.0079210288303996i</v>
      </c>
      <c r="AF76" s="9" t="str">
        <f t="shared" si="23"/>
        <v>18.4645554135185-2.70320850505518i</v>
      </c>
      <c r="AG76" s="9">
        <f t="shared" si="18"/>
        <v>18.661381053949302</v>
      </c>
      <c r="AH76" s="9">
        <f t="shared" si="19"/>
        <v>-0.14536719176714838</v>
      </c>
      <c r="AI76" s="9">
        <f t="shared" si="20"/>
        <v>-8.328926567926489</v>
      </c>
      <c r="AJ76" s="9">
        <f t="shared" si="21"/>
        <v>25.418875619844172</v>
      </c>
      <c r="AL76" s="9" t="str">
        <f t="shared" si="24"/>
        <v>0.00145059183981261-0.0169183344143215i</v>
      </c>
      <c r="AM76" s="9" t="str">
        <f t="shared" si="25"/>
        <v>0.9999993975229-0.000718245649789249i</v>
      </c>
      <c r="AN76" s="9" t="str">
        <f t="shared" si="28"/>
        <v>-0.913832118488846+10.7487737593566i</v>
      </c>
      <c r="AO76" s="9">
        <f t="shared" si="29"/>
        <v>10.787549604549444</v>
      </c>
      <c r="AP76" s="9">
        <f t="shared" si="30"/>
        <v>1.655609713696331</v>
      </c>
      <c r="AQ76" s="9">
        <f t="shared" si="31"/>
        <v>94.859449115662343</v>
      </c>
      <c r="AR76" s="9">
        <f t="shared" si="32"/>
        <v>20.658456115012378</v>
      </c>
      <c r="AS76" s="9">
        <f t="shared" si="33"/>
        <v>46.07733173485655</v>
      </c>
      <c r="AT76" s="9">
        <f t="shared" si="34"/>
        <v>86.530522547735856</v>
      </c>
    </row>
    <row r="77" spans="25:46" x14ac:dyDescent="0.25">
      <c r="Y77" s="9">
        <v>75</v>
      </c>
      <c r="Z77" s="9">
        <f t="shared" si="26"/>
        <v>100.78792527267464</v>
      </c>
      <c r="AA77" s="9" t="str">
        <f t="shared" si="35"/>
        <v>633.269211214383i</v>
      </c>
      <c r="AB77" s="9">
        <f>(Assumed_Efficiency/100)*Rout/'4. Current Sense Resistor'!$B$11</f>
        <v>135.14141414141415</v>
      </c>
      <c r="AD77" s="9" t="str">
        <f t="shared" si="22"/>
        <v>0.978538379688715-0.143931178744556i</v>
      </c>
      <c r="AE77" s="9" t="str">
        <f t="shared" si="27"/>
        <v>0.999984259525686-0.00842351861094353i</v>
      </c>
      <c r="AF77" s="9" t="str">
        <f t="shared" si="23"/>
        <v>18.4160213231892-2.86745731288435i</v>
      </c>
      <c r="AG77" s="9">
        <f t="shared" si="18"/>
        <v>18.637922438334513</v>
      </c>
      <c r="AH77" s="9">
        <f t="shared" si="19"/>
        <v>-0.15446419394114477</v>
      </c>
      <c r="AI77" s="9">
        <f t="shared" si="20"/>
        <v>-8.8501463987178166</v>
      </c>
      <c r="AJ77" s="9">
        <f t="shared" si="21"/>
        <v>25.407950001718365</v>
      </c>
      <c r="AL77" s="9" t="str">
        <f t="shared" si="24"/>
        <v>0.00141742141430654-0.0159096240837061i</v>
      </c>
      <c r="AM77" s="9" t="str">
        <f t="shared" si="25"/>
        <v>0.999999318658674-0.000763809538693878i</v>
      </c>
      <c r="AN77" s="9" t="str">
        <f t="shared" si="28"/>
        <v>-0.892758828235713+10.1079715026611i</v>
      </c>
      <c r="AO77" s="9">
        <f t="shared" si="29"/>
        <v>10.147320149872167</v>
      </c>
      <c r="AP77" s="9">
        <f t="shared" si="30"/>
        <v>1.6588899879268078</v>
      </c>
      <c r="AQ77" s="9">
        <f t="shared" si="31"/>
        <v>95.04739498471416</v>
      </c>
      <c r="AR77" s="9">
        <f t="shared" si="32"/>
        <v>20.127027253276928</v>
      </c>
      <c r="AS77" s="9">
        <f t="shared" si="33"/>
        <v>45.534977254995297</v>
      </c>
      <c r="AT77" s="9">
        <f t="shared" si="34"/>
        <v>86.197248585996348</v>
      </c>
    </row>
    <row r="78" spans="25:46" x14ac:dyDescent="0.25">
      <c r="Y78" s="9">
        <v>76</v>
      </c>
      <c r="Z78" s="9">
        <f t="shared" si="26"/>
        <v>107.18169448207877</v>
      </c>
      <c r="AA78" s="9" t="str">
        <f t="shared" si="35"/>
        <v>673.442447968409i</v>
      </c>
      <c r="AB78" s="9">
        <f>(Assumed_Efficiency/100)*Rout/'4. Current Sense Resistor'!$B$11</f>
        <v>135.14141414141415</v>
      </c>
      <c r="AD78" s="9" t="str">
        <f t="shared" si="22"/>
        <v>0.975797958285558-0.152627315830244i</v>
      </c>
      <c r="AE78" s="9" t="str">
        <f t="shared" si="27"/>
        <v>0.999982199104069-0.00895788460338811i</v>
      </c>
      <c r="AF78" s="9" t="str">
        <f t="shared" si="23"/>
        <v>18.3614277335261-3.04070576578194i</v>
      </c>
      <c r="AG78" s="9">
        <f t="shared" si="18"/>
        <v>18.611499670030916</v>
      </c>
      <c r="AH78" s="9">
        <f t="shared" si="19"/>
        <v>-0.16411348749838442</v>
      </c>
      <c r="AI78" s="9">
        <f t="shared" si="20"/>
        <v>-9.4030101948304257</v>
      </c>
      <c r="AJ78" s="9">
        <f t="shared" si="21"/>
        <v>25.395627378981125</v>
      </c>
      <c r="AL78" s="9" t="str">
        <f t="shared" si="24"/>
        <v>0.00138808858201305-0.0149609978916156i</v>
      </c>
      <c r="AM78" s="9" t="str">
        <f t="shared" si="25"/>
        <v>0.999999229471135-0.000812263888458267i</v>
      </c>
      <c r="AN78" s="9" t="str">
        <f t="shared" si="28"/>
        <v>-0.874123560504892+9.50534292153009i</v>
      </c>
      <c r="AO78" s="9">
        <f t="shared" si="29"/>
        <v>9.5454510660791687</v>
      </c>
      <c r="AP78" s="9">
        <f t="shared" si="30"/>
        <v>1.6624996853274903</v>
      </c>
      <c r="AQ78" s="9">
        <f t="shared" si="31"/>
        <v>95.25421541109263</v>
      </c>
      <c r="AR78" s="9">
        <f t="shared" si="32"/>
        <v>19.595929112174865</v>
      </c>
      <c r="AS78" s="9">
        <f t="shared" si="33"/>
        <v>44.99155649115599</v>
      </c>
      <c r="AT78" s="9">
        <f t="shared" si="34"/>
        <v>85.851205216262201</v>
      </c>
    </row>
    <row r="79" spans="25:46" x14ac:dyDescent="0.25">
      <c r="Y79" s="9">
        <v>77</v>
      </c>
      <c r="Z79" s="9">
        <f t="shared" si="26"/>
        <v>113.98107065871142</v>
      </c>
      <c r="AA79" s="9" t="str">
        <f t="shared" si="35"/>
        <v>716.164188459414i</v>
      </c>
      <c r="AB79" s="9">
        <f>(Assumed_Efficiency/100)*Rout/'4. Current Sense Resistor'!$B$11</f>
        <v>135.14141414141415</v>
      </c>
      <c r="AD79" s="9" t="str">
        <f t="shared" si="22"/>
        <v>0.972717504410024-0.161790211119868i</v>
      </c>
      <c r="AE79" s="9" t="str">
        <f t="shared" si="27"/>
        <v>0.999979868975207-0.00952614883250923i</v>
      </c>
      <c r="AF79" s="9" t="str">
        <f t="shared" si="23"/>
        <v>18.3000601512929-3.2232532651926i</v>
      </c>
      <c r="AG79" s="9">
        <f t="shared" si="18"/>
        <v>18.581753500477642</v>
      </c>
      <c r="AH79" s="9">
        <f t="shared" si="19"/>
        <v>-0.17434525232969997</v>
      </c>
      <c r="AI79" s="9">
        <f t="shared" si="20"/>
        <v>-9.9892471366351909</v>
      </c>
      <c r="AJ79" s="9">
        <f t="shared" si="21"/>
        <v>25.381733891374729</v>
      </c>
      <c r="AL79" s="9" t="str">
        <f t="shared" si="24"/>
        <v>0.00136214954731565-0.0140688865978179i</v>
      </c>
      <c r="AM79" s="9" t="str">
        <f t="shared" si="25"/>
        <v>0.999999128608963-0.000863792060813896i</v>
      </c>
      <c r="AN79" s="9" t="str">
        <f t="shared" si="28"/>
        <v>-0.857644370133707+8.93862060497841i</v>
      </c>
      <c r="AO79" s="9">
        <f t="shared" si="29"/>
        <v>8.9796710510667737</v>
      </c>
      <c r="AP79" s="9">
        <f t="shared" si="30"/>
        <v>1.6664516868845858</v>
      </c>
      <c r="AQ79" s="9">
        <f t="shared" si="31"/>
        <v>95.480648420943325</v>
      </c>
      <c r="AR79" s="9">
        <f t="shared" si="32"/>
        <v>19.065208552225421</v>
      </c>
      <c r="AS79" s="9">
        <f t="shared" si="33"/>
        <v>44.44694244360015</v>
      </c>
      <c r="AT79" s="9">
        <f t="shared" si="34"/>
        <v>85.491401284308139</v>
      </c>
    </row>
    <row r="80" spans="25:46" x14ac:dyDescent="0.25">
      <c r="Y80" s="9">
        <v>78</v>
      </c>
      <c r="Z80" s="9">
        <f t="shared" si="26"/>
        <v>121.21178463621371</v>
      </c>
      <c r="AA80" s="9" t="str">
        <f t="shared" si="35"/>
        <v>761.596104283274i</v>
      </c>
      <c r="AB80" s="9">
        <f>(Assumed_Efficiency/100)*Rout/'4. Current Sense Resistor'!$B$11</f>
        <v>135.14141414141415</v>
      </c>
      <c r="AD80" s="9" t="str">
        <f t="shared" si="22"/>
        <v>0.969257490952746-0.171433362763513i</v>
      </c>
      <c r="AE80" s="9" t="str">
        <f t="shared" si="27"/>
        <v>0.999977233834981-0.0101304615689234i</v>
      </c>
      <c r="AF80" s="9" t="str">
        <f t="shared" si="23"/>
        <v>18.2311311329355-3.41536874631095i</v>
      </c>
      <c r="AG80" s="9">
        <f t="shared" si="18"/>
        <v>18.548285259278487</v>
      </c>
      <c r="AH80" s="9">
        <f t="shared" si="19"/>
        <v>-0.185190657831272</v>
      </c>
      <c r="AI80" s="9">
        <f t="shared" si="20"/>
        <v>-10.610643098983232</v>
      </c>
      <c r="AJ80" s="9">
        <f t="shared" si="21"/>
        <v>25.366075328234135</v>
      </c>
      <c r="AL80" s="9" t="str">
        <f t="shared" si="24"/>
        <v>0.00133921179603955-0.0132299313557191i</v>
      </c>
      <c r="AM80" s="9" t="str">
        <f t="shared" si="25"/>
        <v>0.999999014543956-0.000918589048980728i</v>
      </c>
      <c r="AN80" s="9" t="str">
        <f t="shared" si="28"/>
        <v>-0.843071891025004+8.40567081398404i</v>
      </c>
      <c r="AO80" s="9">
        <f t="shared" si="29"/>
        <v>8.447844224800761</v>
      </c>
      <c r="AP80" s="9">
        <f t="shared" si="30"/>
        <v>1.6707600106221838</v>
      </c>
      <c r="AQ80" s="9">
        <f t="shared" si="31"/>
        <v>95.727497187883728</v>
      </c>
      <c r="AR80" s="9">
        <f t="shared" si="32"/>
        <v>18.534917940600646</v>
      </c>
      <c r="AS80" s="9">
        <f t="shared" si="33"/>
        <v>43.900993268834782</v>
      </c>
      <c r="AT80" s="9">
        <f t="shared" si="34"/>
        <v>85.116854088900496</v>
      </c>
    </row>
    <row r="81" spans="25:46" x14ac:dyDescent="0.25">
      <c r="Y81" s="9">
        <v>79</v>
      </c>
      <c r="Z81" s="9">
        <f t="shared" si="26"/>
        <v>128.90119955697148</v>
      </c>
      <c r="AA81" s="9" t="str">
        <f t="shared" si="35"/>
        <v>809.910123134187i</v>
      </c>
      <c r="AB81" s="9">
        <f>(Assumed_Efficiency/100)*Rout/'4. Current Sense Resistor'!$B$11</f>
        <v>135.14141414141415</v>
      </c>
      <c r="AD81" s="9" t="str">
        <f t="shared" si="22"/>
        <v>0.965374508638023-0.181568232676194i</v>
      </c>
      <c r="AE81" s="9" t="str">
        <f t="shared" si="27"/>
        <v>0.999974253758121-0.0107731094592444i</v>
      </c>
      <c r="AF81" s="9" t="str">
        <f t="shared" si="23"/>
        <v>18.1537758958778-3.61728058124452i</v>
      </c>
      <c r="AG81" s="9">
        <f t="shared" si="18"/>
        <v>18.510653637330112</v>
      </c>
      <c r="AH81" s="9">
        <f t="shared" si="19"/>
        <v>-0.19668175839668614</v>
      </c>
      <c r="AI81" s="9">
        <f t="shared" si="20"/>
        <v>-11.269034663341856</v>
      </c>
      <c r="AJ81" s="9">
        <f t="shared" si="21"/>
        <v>25.348435091507167</v>
      </c>
      <c r="AL81" s="9" t="str">
        <f t="shared" si="24"/>
        <v>0.00131892817871852-0.0124409715864522i</v>
      </c>
      <c r="AM81" s="9" t="str">
        <f t="shared" si="25"/>
        <v>0.99999888554787-0.00097686221542522i</v>
      </c>
      <c r="AN81" s="9" t="str">
        <f t="shared" si="28"/>
        <v>-0.830185577218727+7.90448577841328i</v>
      </c>
      <c r="AO81" s="9">
        <f t="shared" si="29"/>
        <v>7.9479622239766456</v>
      </c>
      <c r="AP81" s="9">
        <f t="shared" si="30"/>
        <v>1.6754398337443841</v>
      </c>
      <c r="AQ81" s="9">
        <f t="shared" si="31"/>
        <v>95.995631301653532</v>
      </c>
      <c r="AR81" s="9">
        <f t="shared" si="32"/>
        <v>18.005115885520823</v>
      </c>
      <c r="AS81" s="9">
        <f t="shared" si="33"/>
        <v>43.353550977027993</v>
      </c>
      <c r="AT81" s="9">
        <f t="shared" si="34"/>
        <v>84.726596638311676</v>
      </c>
    </row>
    <row r="82" spans="25:46" x14ac:dyDescent="0.25">
      <c r="Y82" s="9">
        <v>80</v>
      </c>
      <c r="Z82" s="9">
        <f t="shared" si="26"/>
        <v>137.07841442227294</v>
      </c>
      <c r="AA82" s="9" t="str">
        <f t="shared" si="35"/>
        <v>861.2890794295i</v>
      </c>
      <c r="AB82" s="9">
        <f>(Assumed_Efficiency/100)*Rout/'4. Current Sense Resistor'!$B$11</f>
        <v>135.14141414141415</v>
      </c>
      <c r="AD82" s="9" t="str">
        <f t="shared" si="22"/>
        <v>0.961021077199294-0.192203654462087i</v>
      </c>
      <c r="AE82" s="9" t="str">
        <f t="shared" si="27"/>
        <v>0.999970883593342-0.0114565241708879i</v>
      </c>
      <c r="AF82" s="9" t="str">
        <f t="shared" si="23"/>
        <v>18.0670485568228-3.82916478404891i</v>
      </c>
      <c r="AG82" s="9">
        <f t="shared" si="18"/>
        <v>18.468371517218113</v>
      </c>
      <c r="AH82" s="9">
        <f t="shared" si="19"/>
        <v>-0.20885135508877498</v>
      </c>
      <c r="AI82" s="9">
        <f t="shared" si="20"/>
        <v>-11.966301192174916</v>
      </c>
      <c r="AJ82" s="9">
        <f t="shared" si="21"/>
        <v>25.328572048202467</v>
      </c>
      <c r="AL82" s="9" t="str">
        <f t="shared" si="24"/>
        <v>0.00130099167457058-0.0116990335048727i</v>
      </c>
      <c r="AM82" s="9" t="str">
        <f t="shared" si="25"/>
        <v>0.999998739666234-0.00103883207639604i</v>
      </c>
      <c r="AN82" s="9" t="str">
        <f t="shared" si="28"/>
        <v>-0.818790376416872+7.43317640813758i</v>
      </c>
      <c r="AO82" s="9">
        <f t="shared" si="29"/>
        <v>7.4781367462093105</v>
      </c>
      <c r="AP82" s="9">
        <f t="shared" si="30"/>
        <v>1.6805075130938594</v>
      </c>
      <c r="AQ82" s="9">
        <f t="shared" si="31"/>
        <v>96.285987940304068</v>
      </c>
      <c r="AR82" s="9">
        <f t="shared" si="32"/>
        <v>17.47586804915656</v>
      </c>
      <c r="AS82" s="9">
        <f t="shared" si="33"/>
        <v>42.804440097359027</v>
      </c>
      <c r="AT82" s="9">
        <f t="shared" si="34"/>
        <v>84.319686748129158</v>
      </c>
    </row>
    <row r="83" spans="25:46" x14ac:dyDescent="0.25">
      <c r="Y83" s="9">
        <v>81</v>
      </c>
      <c r="Z83" s="9">
        <f t="shared" si="26"/>
        <v>145.77437421146283</v>
      </c>
      <c r="AA83" s="9" t="str">
        <f t="shared" si="35"/>
        <v>915.927406208762i</v>
      </c>
      <c r="AB83" s="9">
        <f>(Assumed_Efficiency/100)*Rout/'4. Current Sense Resistor'!$B$11</f>
        <v>135.14141414141415</v>
      </c>
      <c r="AD83" s="9" t="str">
        <f t="shared" si="22"/>
        <v>0.956145504246621-0.203345148938315i</v>
      </c>
      <c r="AE83" s="9" t="str">
        <f t="shared" si="27"/>
        <v>0.999967072279321-0.0121832915839481i</v>
      </c>
      <c r="AF83" s="9" t="str">
        <f t="shared" si="23"/>
        <v>17.9699193201518-4.0511313750075i</v>
      </c>
      <c r="AG83" s="9">
        <f t="shared" si="18"/>
        <v>18.420902958061941</v>
      </c>
      <c r="AH83" s="9">
        <f t="shared" si="19"/>
        <v>-0.22173281797257688</v>
      </c>
      <c r="AI83" s="9">
        <f t="shared" si="20"/>
        <v>-12.704354649371183</v>
      </c>
      <c r="AJ83" s="9">
        <f t="shared" si="21"/>
        <v>25.306218293646907</v>
      </c>
      <c r="AL83" s="9" t="str">
        <f t="shared" si="24"/>
        <v>0.00128513075829421-0.0110013192705776i</v>
      </c>
      <c r="AM83" s="9" t="str">
        <f t="shared" si="25"/>
        <v>0.999998574688745-0.00110473313620014i</v>
      </c>
      <c r="AN83" s="9" t="str">
        <f t="shared" si="28"/>
        <v>-0.808713786478925+6.98996540126528i</v>
      </c>
      <c r="AO83" s="9">
        <f t="shared" si="29"/>
        <v>7.0365925204836728</v>
      </c>
      <c r="AP83" s="9">
        <f t="shared" si="30"/>
        <v>1.6859806028792725</v>
      </c>
      <c r="AQ83" s="9">
        <f t="shared" si="31"/>
        <v>96.599572885904408</v>
      </c>
      <c r="AR83" s="9">
        <f t="shared" si="32"/>
        <v>16.94724804703856</v>
      </c>
      <c r="AS83" s="9">
        <f t="shared" si="33"/>
        <v>42.253466340685463</v>
      </c>
      <c r="AT83" s="9">
        <f t="shared" si="34"/>
        <v>83.895218236533225</v>
      </c>
    </row>
    <row r="84" spans="25:46" x14ac:dyDescent="0.25">
      <c r="Y84" s="9">
        <v>82</v>
      </c>
      <c r="Z84" s="9">
        <f t="shared" si="26"/>
        <v>155.02198698682062</v>
      </c>
      <c r="AA84" s="9" t="str">
        <f t="shared" si="35"/>
        <v>974.031870925376i</v>
      </c>
      <c r="AB84" s="9">
        <f>(Assumed_Efficiency/100)*Rout/'4. Current Sense Resistor'!$B$11</f>
        <v>135.14141414141415</v>
      </c>
      <c r="AD84" s="9" t="str">
        <f t="shared" si="22"/>
        <v>0.95069181178092-0.214994141692652i</v>
      </c>
      <c r="AE84" s="9" t="str">
        <f t="shared" si="27"/>
        <v>0.999962762071136-0.0129561615645799i</v>
      </c>
      <c r="AF84" s="9" t="str">
        <f t="shared" si="23"/>
        <v>17.8612730139526-4.28320879327966i</v>
      </c>
      <c r="AG84" s="9">
        <f t="shared" si="18"/>
        <v>18.367660472846826</v>
      </c>
      <c r="AH84" s="9">
        <f t="shared" si="19"/>
        <v>-0.2353598631909547</v>
      </c>
      <c r="AI84" s="9">
        <f t="shared" si="20"/>
        <v>-13.485126827618162</v>
      </c>
      <c r="AJ84" s="9">
        <f t="shared" si="21"/>
        <v>25.281076856722649</v>
      </c>
      <c r="AL84" s="9" t="str">
        <f t="shared" si="24"/>
        <v>0.00127110530061565-0.0103451967366503i</v>
      </c>
      <c r="AM84" s="9" t="str">
        <f t="shared" si="25"/>
        <v>0.999998388115768-0.00117481477436877i</v>
      </c>
      <c r="AN84" s="9" t="str">
        <f t="shared" si="28"/>
        <v>-0.799803251007516+6.57318073214822i</v>
      </c>
      <c r="AO84" s="9">
        <f t="shared" si="29"/>
        <v>6.621660681264693</v>
      </c>
      <c r="AP84" s="9">
        <f t="shared" si="30"/>
        <v>1.6918778684157556</v>
      </c>
      <c r="AQ84" s="9">
        <f t="shared" si="31"/>
        <v>96.937461311812825</v>
      </c>
      <c r="AR84" s="9">
        <f t="shared" si="32"/>
        <v>16.419338442153567</v>
      </c>
      <c r="AS84" s="9">
        <f t="shared" si="33"/>
        <v>41.700415298876216</v>
      </c>
      <c r="AT84" s="9">
        <f t="shared" si="34"/>
        <v>83.452334484194665</v>
      </c>
    </row>
    <row r="85" spans="25:46" x14ac:dyDescent="0.25">
      <c r="Y85" s="9">
        <v>83</v>
      </c>
      <c r="Z85" s="9">
        <f t="shared" si="26"/>
        <v>164.85624842731968</v>
      </c>
      <c r="AA85" s="9" t="str">
        <f t="shared" si="35"/>
        <v>1035.82235791528i</v>
      </c>
      <c r="AB85" s="9">
        <f>(Assumed_Efficiency/100)*Rout/'4. Current Sense Resistor'!$B$11</f>
        <v>135.14141414141415</v>
      </c>
      <c r="AD85" s="9" t="str">
        <f t="shared" si="22"/>
        <v>0.944599754391344-0.227147079710692i</v>
      </c>
      <c r="AE85" s="9" t="str">
        <f t="shared" si="27"/>
        <v>0.999957887665481-0.0137780583564504i</v>
      </c>
      <c r="AF85" s="9" t="str">
        <f t="shared" si="23"/>
        <v>17.7399094525182-4.52532629886156i</v>
      </c>
      <c r="AG85" s="9">
        <f t="shared" si="18"/>
        <v>18.308002771867628</v>
      </c>
      <c r="AH85" s="9">
        <f t="shared" si="19"/>
        <v>-0.2497662785940557</v>
      </c>
      <c r="AI85" s="9">
        <f t="shared" si="20"/>
        <v>-14.31055362812811</v>
      </c>
      <c r="AJ85" s="9">
        <f t="shared" si="21"/>
        <v>25.252819390166113</v>
      </c>
      <c r="AL85" s="9" t="str">
        <f t="shared" si="24"/>
        <v>0.00125870294135897-0.00972818976879091i</v>
      </c>
      <c r="AM85" s="9" t="str">
        <f t="shared" si="25"/>
        <v>0.999998177120475-0.00124934218906156i</v>
      </c>
      <c r="AN85" s="9" t="str">
        <f t="shared" si="28"/>
        <v>-0.791923855125475+6.18124950179646i</v>
      </c>
      <c r="AO85" s="9">
        <f t="shared" si="29"/>
        <v>6.2317725243927002</v>
      </c>
      <c r="AP85" s="9">
        <f t="shared" si="30"/>
        <v>1.6982192943807275</v>
      </c>
      <c r="AQ85" s="9">
        <f t="shared" si="31"/>
        <v>97.3007982557004</v>
      </c>
      <c r="AR85" s="9">
        <f t="shared" si="32"/>
        <v>15.892231841929231</v>
      </c>
      <c r="AS85" s="9">
        <f t="shared" si="33"/>
        <v>41.145051232095341</v>
      </c>
      <c r="AT85" s="9">
        <f t="shared" si="34"/>
        <v>82.990244627572295</v>
      </c>
    </row>
    <row r="86" spans="25:46" x14ac:dyDescent="0.25">
      <c r="Y86" s="9">
        <v>84</v>
      </c>
      <c r="Z86" s="9">
        <f t="shared" si="26"/>
        <v>175.3143742625403</v>
      </c>
      <c r="AA86" s="9" t="str">
        <f t="shared" si="35"/>
        <v>1101.53270050378i</v>
      </c>
      <c r="AB86" s="9">
        <f>(Assumed_Efficiency/100)*Rout/'4. Current Sense Resistor'!$B$11</f>
        <v>135.14141414141415</v>
      </c>
      <c r="AD86" s="9" t="str">
        <f t="shared" si="22"/>
        <v>0.937804957438502-0.239794447989233i</v>
      </c>
      <c r="AE86" s="9" t="str">
        <f t="shared" si="27"/>
        <v>0.999952375211396-0.0146520916290782i</v>
      </c>
      <c r="AF86" s="9" t="str">
        <f t="shared" si="23"/>
        <v>17.6045461891513-4.77729438212319i</v>
      </c>
      <c r="AG86" s="9">
        <f t="shared" si="18"/>
        <v>18.24123318581908</v>
      </c>
      <c r="AH86" s="9">
        <f t="shared" si="19"/>
        <v>-0.2649855916640696</v>
      </c>
      <c r="AI86" s="9">
        <f t="shared" si="20"/>
        <v>-15.182556034128195</v>
      </c>
      <c r="AJ86" s="9">
        <f t="shared" si="21"/>
        <v>25.221083903195204</v>
      </c>
      <c r="AL86" s="9" t="str">
        <f t="shared" si="24"/>
        <v>0.00124773588077702-0.0091479691077219i</v>
      </c>
      <c r="AM86" s="9" t="str">
        <f t="shared" si="25"/>
        <v>0.999997938506012-0.00132859740026786i</v>
      </c>
      <c r="AN86" s="9" t="str">
        <f t="shared" si="28"/>
        <v>-0.784956286971161+5.81269213348052i</v>
      </c>
      <c r="AO86" s="9">
        <f t="shared" si="29"/>
        <v>5.8654536236408745</v>
      </c>
      <c r="AP86" s="9">
        <f t="shared" si="30"/>
        <v>1.7050260858085025</v>
      </c>
      <c r="AQ86" s="9">
        <f t="shared" si="31"/>
        <v>97.690798676537739</v>
      </c>
      <c r="AR86" s="9">
        <f t="shared" si="32"/>
        <v>15.36603210610118</v>
      </c>
      <c r="AS86" s="9">
        <f t="shared" si="33"/>
        <v>40.587116009296381</v>
      </c>
      <c r="AT86" s="9">
        <f t="shared" si="34"/>
        <v>82.508242642409542</v>
      </c>
    </row>
    <row r="87" spans="25:46" x14ac:dyDescent="0.25">
      <c r="Y87" s="9">
        <v>85</v>
      </c>
      <c r="Z87" s="9">
        <f t="shared" si="26"/>
        <v>186.43594110790573</v>
      </c>
      <c r="AA87" s="9" t="str">
        <f t="shared" si="35"/>
        <v>1171.41156589939i</v>
      </c>
      <c r="AB87" s="9">
        <f>(Assumed_Efficiency/100)*Rout/'4. Current Sense Resistor'!$B$11</f>
        <v>135.14141414141415</v>
      </c>
      <c r="AD87" s="9" t="str">
        <f t="shared" si="22"/>
        <v>0.930239207713175-0.252919692502552i</v>
      </c>
      <c r="AE87" s="9" t="str">
        <f t="shared" si="27"/>
        <v>0.999946141191527-0.0155815682242587i</v>
      </c>
      <c r="AF87" s="9" t="str">
        <f t="shared" si="23"/>
        <v>17.4538243065189-5.03878330775629i</v>
      </c>
      <c r="AG87" s="9">
        <f t="shared" si="18"/>
        <v>18.166599025281354</v>
      </c>
      <c r="AH87" s="9">
        <f t="shared" si="19"/>
        <v>-0.28105067369636993</v>
      </c>
      <c r="AI87" s="9">
        <f t="shared" si="20"/>
        <v>-16.103017432110459</v>
      </c>
      <c r="AJ87" s="9">
        <f t="shared" si="21"/>
        <v>25.185472610220245</v>
      </c>
      <c r="AL87" s="9" t="str">
        <f t="shared" si="24"/>
        <v>0.00123803804106833-0.00860234374821825i</v>
      </c>
      <c r="AM87" s="9" t="str">
        <f t="shared" si="25"/>
        <v>0.999997668657062-0.00141288031658846i</v>
      </c>
      <c r="AN87" s="9" t="str">
        <f t="shared" si="28"/>
        <v>-0.778795034369527+5.46611689659239i</v>
      </c>
      <c r="AO87" s="9">
        <f t="shared" si="29"/>
        <v>5.5213182875805531</v>
      </c>
      <c r="AP87" s="9">
        <f t="shared" si="30"/>
        <v>1.712320659728567</v>
      </c>
      <c r="AQ87" s="9">
        <f t="shared" si="31"/>
        <v>98.108746975503635</v>
      </c>
      <c r="AR87" s="9">
        <f t="shared" si="32"/>
        <v>14.840855672944137</v>
      </c>
      <c r="AS87" s="9">
        <f t="shared" si="33"/>
        <v>40.026328283164382</v>
      </c>
      <c r="AT87" s="9">
        <f t="shared" si="34"/>
        <v>82.005729543393173</v>
      </c>
    </row>
    <row r="88" spans="25:46" x14ac:dyDescent="0.25">
      <c r="Y88" s="9">
        <v>86</v>
      </c>
      <c r="Z88" s="9">
        <f t="shared" si="26"/>
        <v>198.26303623420247</v>
      </c>
      <c r="AA88" s="9" t="str">
        <f t="shared" si="35"/>
        <v>1245.72339622355i</v>
      </c>
      <c r="AB88" s="9">
        <f>(Assumed_Efficiency/100)*Rout/'4. Current Sense Resistor'!$B$11</f>
        <v>135.14141414141415</v>
      </c>
      <c r="AD88" s="9" t="str">
        <f t="shared" si="22"/>
        <v>0.921830932770813-0.266498063185432i</v>
      </c>
      <c r="AE88" s="9" t="str">
        <f t="shared" si="27"/>
        <v>0.999939091156994-0.0165700046442972i</v>
      </c>
      <c r="AF88" s="9" t="str">
        <f t="shared" si="23"/>
        <v>17.2863179657236-5.30930006533988i</v>
      </c>
      <c r="AG88" s="9">
        <f t="shared" si="18"/>
        <v>18.083292178027666</v>
      </c>
      <c r="AH88" s="9">
        <f t="shared" si="19"/>
        <v>-0.29799327481379173</v>
      </c>
      <c r="AI88" s="9">
        <f t="shared" si="20"/>
        <v>-17.073756970112356</v>
      </c>
      <c r="AJ88" s="9">
        <f t="shared" si="21"/>
        <v>25.145549988044831</v>
      </c>
      <c r="AL88" s="9" t="str">
        <f t="shared" si="24"/>
        <v>0.00122946255549571-0.00808925280873117i</v>
      </c>
      <c r="AM88" s="9" t="str">
        <f t="shared" si="25"/>
        <v>0.999997363485073-0.00150250986961914i</v>
      </c>
      <c r="AN88" s="9" t="str">
        <f t="shared" si="28"/>
        <v>-0.773346789624516+5.14021474223112i</v>
      </c>
      <c r="AO88" s="9">
        <f t="shared" si="29"/>
        <v>5.1980643371617372</v>
      </c>
      <c r="AP88" s="9">
        <f t="shared" si="30"/>
        <v>1.720126624992208</v>
      </c>
      <c r="AQ88" s="9">
        <f t="shared" si="31"/>
        <v>98.555995840135978</v>
      </c>
      <c r="AR88" s="9">
        <f t="shared" si="32"/>
        <v>14.316833010423409</v>
      </c>
      <c r="AS88" s="9">
        <f t="shared" si="33"/>
        <v>39.462382998468243</v>
      </c>
      <c r="AT88" s="9">
        <f t="shared" si="34"/>
        <v>81.482238870023622</v>
      </c>
    </row>
    <row r="89" spans="25:46" x14ac:dyDescent="0.25">
      <c r="Y89" s="9">
        <v>87</v>
      </c>
      <c r="Z89" s="9">
        <f t="shared" si="26"/>
        <v>210.84041683815525</v>
      </c>
      <c r="AA89" s="9" t="str">
        <f t="shared" si="35"/>
        <v>1324.74940923712i</v>
      </c>
      <c r="AB89" s="9">
        <f>(Assumed_Efficiency/100)*Rout/'4. Current Sense Resistor'!$B$11</f>
        <v>135.14141414141415</v>
      </c>
      <c r="AD89" s="9" t="str">
        <f t="shared" si="22"/>
        <v>0.912505907820593-0.28049539996671i</v>
      </c>
      <c r="AE89" s="9" t="str">
        <f t="shared" si="27"/>
        <v>0.999931118296702-0.0176211403284253i</v>
      </c>
      <c r="AF89" s="9" t="str">
        <f t="shared" si="23"/>
        <v>17.1005484886191-5.5881641853929i</v>
      </c>
      <c r="AG89" s="9">
        <f t="shared" si="18"/>
        <v>17.990451288795423</v>
      </c>
      <c r="AH89" s="9">
        <f t="shared" si="19"/>
        <v>-0.3158434855248527</v>
      </c>
      <c r="AI89" s="9">
        <f t="shared" si="20"/>
        <v>-18.096498707275369</v>
      </c>
      <c r="AJ89" s="9">
        <f t="shared" si="21"/>
        <v>25.100841154376674</v>
      </c>
      <c r="AL89" s="9" t="str">
        <f t="shared" si="24"/>
        <v>0.00122187954739391-0.00760675786632462i</v>
      </c>
      <c r="AM89" s="9" t="str">
        <f t="shared" si="25"/>
        <v>0.999997018366315-0.00159782522020932i</v>
      </c>
      <c r="AN89" s="9" t="str">
        <f t="shared" si="28"/>
        <v>-0.768529038473272+4.83375443445488i</v>
      </c>
      <c r="AO89" s="9">
        <f t="shared" si="29"/>
        <v>4.8944681851646425</v>
      </c>
      <c r="AP89" s="9">
        <f t="shared" si="30"/>
        <v>1.728468747429933</v>
      </c>
      <c r="AQ89" s="9">
        <f t="shared" si="31"/>
        <v>99.033964247999009</v>
      </c>
      <c r="AR89" s="9">
        <f t="shared" si="32"/>
        <v>13.794110197366189</v>
      </c>
      <c r="AS89" s="9">
        <f t="shared" si="33"/>
        <v>38.894951351742861</v>
      </c>
      <c r="AT89" s="9">
        <f t="shared" si="34"/>
        <v>80.937465540723636</v>
      </c>
    </row>
    <row r="90" spans="25:46" x14ac:dyDescent="0.25">
      <c r="Y90" s="9">
        <v>88</v>
      </c>
      <c r="Z90" s="9">
        <f t="shared" si="26"/>
        <v>224.21567941678887</v>
      </c>
      <c r="AA90" s="9" t="str">
        <f t="shared" si="35"/>
        <v>1408.78866255086i</v>
      </c>
      <c r="AB90" s="9">
        <f>(Assumed_Efficiency/100)*Rout/'4. Current Sense Resistor'!$B$11</f>
        <v>135.14141414141415</v>
      </c>
      <c r="AD90" s="9" t="str">
        <f t="shared" si="22"/>
        <v>0.902188229960428-0.29486689644094i</v>
      </c>
      <c r="AE90" s="9" t="str">
        <f t="shared" si="27"/>
        <v>0.99992210181945-0.0187389517665822i</v>
      </c>
      <c r="AF90" s="9" t="str">
        <f t="shared" si="23"/>
        <v>16.8950037660759-5.87448310995461i</v>
      </c>
      <c r="AG90" s="9">
        <f t="shared" si="18"/>
        <v>17.88716590365452</v>
      </c>
      <c r="AH90" s="9">
        <f t="shared" si="19"/>
        <v>-0.33462912232306169</v>
      </c>
      <c r="AI90" s="9">
        <f t="shared" si="20"/>
        <v>-19.172836411278396</v>
      </c>
      <c r="AJ90" s="9">
        <f t="shared" si="21"/>
        <v>25.050830701892714</v>
      </c>
      <c r="AL90" s="9" t="str">
        <f t="shared" si="24"/>
        <v>0.00121517416567394-0.00715303573248115i</v>
      </c>
      <c r="AM90" s="9" t="str">
        <f t="shared" si="25"/>
        <v>0.999996628071826-0.00169918704113813i</v>
      </c>
      <c r="AN90" s="9" t="str">
        <f t="shared" si="28"/>
        <v>-0.764268811987238+4.54557796167397i</v>
      </c>
      <c r="AO90" s="9">
        <f t="shared" si="29"/>
        <v>4.6093801994012678</v>
      </c>
      <c r="AP90" s="9">
        <f t="shared" si="30"/>
        <v>1.7373728970397293</v>
      </c>
      <c r="AQ90" s="9">
        <f t="shared" si="31"/>
        <v>99.544134440793414</v>
      </c>
      <c r="AR90" s="9">
        <f t="shared" si="32"/>
        <v>13.272850637613001</v>
      </c>
      <c r="AS90" s="9">
        <f t="shared" si="33"/>
        <v>38.323681339505711</v>
      </c>
      <c r="AT90" s="9">
        <f t="shared" si="34"/>
        <v>80.371298029515017</v>
      </c>
    </row>
    <row r="91" spans="25:46" x14ac:dyDescent="0.25">
      <c r="Y91" s="9">
        <v>89</v>
      </c>
      <c r="Z91" s="9">
        <f t="shared" si="26"/>
        <v>238.43943988652958</v>
      </c>
      <c r="AA91" s="9" t="str">
        <f t="shared" si="35"/>
        <v>1498.15918534717i</v>
      </c>
      <c r="AB91" s="9">
        <f>(Assumed_Efficiency/100)*Rout/'4. Current Sense Resistor'!$B$11</f>
        <v>135.14141414141415</v>
      </c>
      <c r="AD91" s="9" t="str">
        <f t="shared" si="22"/>
        <v>0.890801597783579-0.30955588941674i</v>
      </c>
      <c r="AE91" s="9" t="str">
        <f t="shared" si="27"/>
        <v>0.999911905124341-0.0199276675026977i</v>
      </c>
      <c r="AF91" s="9" t="str">
        <f t="shared" si="23"/>
        <v>16.6681637497277-6.16712807868213i</v>
      </c>
      <c r="AG91" s="9">
        <f t="shared" si="18"/>
        <v>17.772482987095703</v>
      </c>
      <c r="AH91" s="9">
        <f t="shared" si="19"/>
        <v>-0.35437503739723419</v>
      </c>
      <c r="AI91" s="9">
        <f t="shared" si="20"/>
        <v>-20.304194007652232</v>
      </c>
      <c r="AJ91" s="9">
        <f t="shared" si="21"/>
        <v>24.994962143346342</v>
      </c>
      <c r="AL91" s="9" t="str">
        <f t="shared" si="24"/>
        <v>0.00120924484726117-0.00672637164623353i</v>
      </c>
      <c r="AM91" s="9" t="str">
        <f t="shared" si="25"/>
        <v>0.999996186688194-0.00180697888103424i</v>
      </c>
      <c r="AN91" s="9" t="str">
        <f t="shared" si="28"/>
        <v>-0.760501582638005+4.274596213231i</v>
      </c>
      <c r="AO91" s="9">
        <f t="shared" si="29"/>
        <v>4.3417203322374087</v>
      </c>
      <c r="AP91" s="9">
        <f t="shared" si="30"/>
        <v>1.7468659734286662</v>
      </c>
      <c r="AQ91" s="9">
        <f t="shared" si="31"/>
        <v>100.08804765247478</v>
      </c>
      <c r="AR91" s="9">
        <f t="shared" si="32"/>
        <v>12.753236907113388</v>
      </c>
      <c r="AS91" s="9">
        <f t="shared" si="33"/>
        <v>37.748199050459732</v>
      </c>
      <c r="AT91" s="9">
        <f t="shared" si="34"/>
        <v>79.783853644822557</v>
      </c>
    </row>
    <row r="92" spans="25:46" x14ac:dyDescent="0.25">
      <c r="Y92" s="9">
        <v>90</v>
      </c>
      <c r="Z92" s="9">
        <f t="shared" si="26"/>
        <v>253.56552512868072</v>
      </c>
      <c r="AA92" s="9" t="str">
        <f t="shared" si="35"/>
        <v>1593.1991818958i</v>
      </c>
      <c r="AB92" s="9">
        <f>(Assumed_Efficiency/100)*Rout/'4. Current Sense Resistor'!$B$11</f>
        <v>135.14141414141415</v>
      </c>
      <c r="AD92" s="9" t="str">
        <f t="shared" si="22"/>
        <v>0.878270928876319-0.324492737942785i</v>
      </c>
      <c r="AE92" s="9" t="str">
        <f t="shared" si="27"/>
        <v>0.999900373731818-0.0211917840827198i</v>
      </c>
      <c r="AF92" s="9" t="str">
        <f t="shared" si="23"/>
        <v>16.4185326750379-6.46471179749779i</v>
      </c>
      <c r="AG92" s="9">
        <f t="shared" si="18"/>
        <v>17.645416227054387</v>
      </c>
      <c r="AH92" s="9">
        <f t="shared" si="19"/>
        <v>-0.37510235600282948</v>
      </c>
      <c r="AI92" s="9">
        <f t="shared" si="20"/>
        <v>-21.491781884375829</v>
      </c>
      <c r="AJ92" s="9">
        <f t="shared" si="21"/>
        <v>24.932638142535168</v>
      </c>
      <c r="AL92" s="9" t="str">
        <f t="shared" si="24"/>
        <v>0.00120400178029897-0.00632515286202083i</v>
      </c>
      <c r="AM92" s="9" t="str">
        <f t="shared" si="25"/>
        <v>0.999995687527966-0.00192160861466764i</v>
      </c>
      <c r="AN92" s="9" t="str">
        <f t="shared" si="28"/>
        <v>-0.757170287902301+4.01978490681331i</v>
      </c>
      <c r="AO92" s="9">
        <f t="shared" si="29"/>
        <v>4.090473999663871</v>
      </c>
      <c r="AP92" s="9">
        <f t="shared" si="30"/>
        <v>1.7569758052273945</v>
      </c>
      <c r="AQ92" s="9">
        <f t="shared" si="31"/>
        <v>100.66729834612906</v>
      </c>
      <c r="AR92" s="9">
        <f t="shared" si="32"/>
        <v>12.235472729881948</v>
      </c>
      <c r="AS92" s="9">
        <f t="shared" si="33"/>
        <v>37.168110872417117</v>
      </c>
      <c r="AT92" s="9">
        <f t="shared" si="34"/>
        <v>79.175516461753233</v>
      </c>
    </row>
    <row r="93" spans="25:46" x14ac:dyDescent="0.25">
      <c r="Y93" s="9">
        <v>91</v>
      </c>
      <c r="Z93" s="9">
        <f t="shared" si="26"/>
        <v>269.65117668612646</v>
      </c>
      <c r="AA93" s="9" t="str">
        <f t="shared" si="35"/>
        <v>1694.26831141796i</v>
      </c>
      <c r="AB93" s="9">
        <f>(Assumed_Efficiency/100)*Rout/'4. Current Sense Resistor'!$B$11</f>
        <v>135.14141414141415</v>
      </c>
      <c r="AD93" s="9" t="str">
        <f t="shared" si="22"/>
        <v>0.864524337341394-0.339593871686787i</v>
      </c>
      <c r="AE93" s="9" t="str">
        <f t="shared" si="27"/>
        <v>0.999887332944019-0.0225360830058943i</v>
      </c>
      <c r="AF93" s="9" t="str">
        <f t="shared" si="23"/>
        <v>16.1446784566437-6.76556948103077i</v>
      </c>
      <c r="AG93" s="9">
        <f t="shared" si="18"/>
        <v>17.504958522403591</v>
      </c>
      <c r="AH93" s="9">
        <f t="shared" si="19"/>
        <v>-0.39682764951592808</v>
      </c>
      <c r="AI93" s="9">
        <f t="shared" si="20"/>
        <v>-22.736549511359321</v>
      </c>
      <c r="AJ93" s="9">
        <f t="shared" si="21"/>
        <v>24.863221721029785</v>
      </c>
      <c r="AL93" s="9" t="str">
        <f t="shared" si="24"/>
        <v>0.001199365544957-0.00594786261063053i</v>
      </c>
      <c r="AM93" s="9" t="str">
        <f t="shared" si="25"/>
        <v>0.999995123028337-0.00204350998506171i</v>
      </c>
      <c r="AN93" s="9" t="str">
        <f t="shared" si="28"/>
        <v>-0.754224466690986+3.78018075295481i</v>
      </c>
      <c r="AO93" s="9">
        <f t="shared" si="29"/>
        <v>3.8546881937668185</v>
      </c>
      <c r="AP93" s="9">
        <f t="shared" si="30"/>
        <v>1.7677310186844224</v>
      </c>
      <c r="AQ93" s="9">
        <f t="shared" si="31"/>
        <v>101.28352668497907</v>
      </c>
      <c r="AR93" s="9">
        <f t="shared" si="32"/>
        <v>11.719785073403619</v>
      </c>
      <c r="AS93" s="9">
        <f t="shared" si="33"/>
        <v>36.583006794433402</v>
      </c>
      <c r="AT93" s="9">
        <f t="shared" si="34"/>
        <v>78.546977173619752</v>
      </c>
    </row>
    <row r="94" spans="25:46" x14ac:dyDescent="0.25">
      <c r="Y94" s="9">
        <v>92</v>
      </c>
      <c r="Z94" s="9">
        <f t="shared" si="26"/>
        <v>286.75726738211927</v>
      </c>
      <c r="AA94" s="9" t="str">
        <f t="shared" si="35"/>
        <v>1801.7490491423i</v>
      </c>
      <c r="AB94" s="9">
        <f>(Assumed_Efficiency/100)*Rout/'4. Current Sense Resistor'!$B$11</f>
        <v>135.14141414141415</v>
      </c>
      <c r="AD94" s="9" t="str">
        <f t="shared" si="22"/>
        <v>0.849495477140434-0.354761104407524i</v>
      </c>
      <c r="AE94" s="9" t="str">
        <f t="shared" si="27"/>
        <v>0.999872585199057-0.0239656487412284i</v>
      </c>
      <c r="AF94" s="9" t="str">
        <f t="shared" si="23"/>
        <v>15.8452793713862-7.06774517614739i</v>
      </c>
      <c r="AG94" s="9">
        <f t="shared" si="18"/>
        <v>17.35009798912478</v>
      </c>
      <c r="AH94" s="9">
        <f t="shared" si="19"/>
        <v>-0.41956205767289056</v>
      </c>
      <c r="AI94" s="9">
        <f t="shared" si="20"/>
        <v>-24.039135148481066</v>
      </c>
      <c r="AJ94" s="9">
        <f t="shared" si="21"/>
        <v>24.786038638464078</v>
      </c>
      <c r="AL94" s="9" t="str">
        <f t="shared" si="24"/>
        <v>0.00119526591134696-0.00559307441255546i</v>
      </c>
      <c r="AM94" s="9" t="str">
        <f t="shared" si="25"/>
        <v>0.99999448463657-0.00217314424321378i</v>
      </c>
      <c r="AN94" s="9" t="str">
        <f t="shared" si="28"/>
        <v>-0.75161949557901+3.55487784349875i</v>
      </c>
      <c r="AO94" s="9">
        <f t="shared" si="29"/>
        <v>3.6334678130310674</v>
      </c>
      <c r="AP94" s="9">
        <f t="shared" si="30"/>
        <v>1.7791608701485089</v>
      </c>
      <c r="AQ94" s="9">
        <f t="shared" si="31"/>
        <v>101.93840893433264</v>
      </c>
      <c r="AR94" s="9">
        <f t="shared" si="32"/>
        <v>11.206426347225669</v>
      </c>
      <c r="AS94" s="9">
        <f t="shared" si="33"/>
        <v>35.99246498568975</v>
      </c>
      <c r="AT94" s="9">
        <f t="shared" si="34"/>
        <v>77.899273785851577</v>
      </c>
    </row>
    <row r="95" spans="25:46" x14ac:dyDescent="0.25">
      <c r="Y95" s="9">
        <v>93</v>
      </c>
      <c r="Z95" s="9">
        <f t="shared" si="26"/>
        <v>304.94853168089651</v>
      </c>
      <c r="AA95" s="9" t="str">
        <f t="shared" si="35"/>
        <v>1916.0481337034i</v>
      </c>
      <c r="AB95" s="9">
        <f>(Assumed_Efficiency/100)*Rout/'4. Current Sense Resistor'!$B$11</f>
        <v>135.14141414141415</v>
      </c>
      <c r="AD95" s="9" t="str">
        <f t="shared" si="22"/>
        <v>0.833126233936542-0.369881321794261i</v>
      </c>
      <c r="AE95" s="9" t="str">
        <f t="shared" si="27"/>
        <v>0.999855907079212-0.0254858878746528i</v>
      </c>
      <c r="AF95" s="9" t="str">
        <f t="shared" si="23"/>
        <v>15.5191776840072-7.36898554348925i</v>
      </c>
      <c r="AG95" s="9">
        <f t="shared" si="18"/>
        <v>17.179837715413399</v>
      </c>
      <c r="AH95" s="9">
        <f t="shared" si="19"/>
        <v>-0.44331037990813699</v>
      </c>
      <c r="AI95" s="9">
        <f t="shared" si="20"/>
        <v>-25.399813783077377</v>
      </c>
      <c r="AJ95" s="9">
        <f t="shared" si="21"/>
        <v>24.700381141437248</v>
      </c>
      <c r="AL95" s="9" t="str">
        <f t="shared" si="24"/>
        <v>0.0011916407764083-0.00525944672406299i</v>
      </c>
      <c r="AM95" s="9" t="str">
        <f t="shared" si="25"/>
        <v>0.999993762680429-0.00231100189157125i</v>
      </c>
      <c r="AN95" s="9" t="str">
        <f t="shared" si="28"/>
        <v>-0.749315913312305+3.3430242515091i</v>
      </c>
      <c r="AO95" s="9">
        <f t="shared" si="29"/>
        <v>3.4259721954681761</v>
      </c>
      <c r="AP95" s="9">
        <f t="shared" si="30"/>
        <v>1.7912950366969671</v>
      </c>
      <c r="AQ95" s="9">
        <f t="shared" si="31"/>
        <v>102.63364546546813</v>
      </c>
      <c r="AR95" s="9">
        <f t="shared" si="32"/>
        <v>10.695676679865118</v>
      </c>
      <c r="AS95" s="9">
        <f t="shared" si="33"/>
        <v>35.396057821302364</v>
      </c>
      <c r="AT95" s="9">
        <f t="shared" si="34"/>
        <v>77.233831682390758</v>
      </c>
    </row>
    <row r="96" spans="25:46" x14ac:dyDescent="0.25">
      <c r="Y96" s="9">
        <v>94</v>
      </c>
      <c r="Z96" s="9">
        <f t="shared" si="26"/>
        <v>324.29381066187881</v>
      </c>
      <c r="AA96" s="9" t="str">
        <f t="shared" si="35"/>
        <v>2037.59810636i</v>
      </c>
      <c r="AB96" s="9">
        <f>(Assumed_Efficiency/100)*Rout/'4. Current Sense Resistor'!$B$11</f>
        <v>135.14141414141415</v>
      </c>
      <c r="AD96" s="9" t="str">
        <f t="shared" si="22"/>
        <v>0.815369717967806-0.384826661626065i</v>
      </c>
      <c r="AE96" s="9" t="str">
        <f t="shared" si="27"/>
        <v>0.999837045927813-0.0271025494561298i</v>
      </c>
      <c r="AF96" s="9" t="str">
        <f t="shared" si="23"/>
        <v>15.1654392698508-7.66674344682104i</v>
      </c>
      <c r="AG96" s="9">
        <f t="shared" si="18"/>
        <v>16.993219333808003</v>
      </c>
      <c r="AH96" s="9">
        <f t="shared" si="19"/>
        <v>-0.46807016281840969</v>
      </c>
      <c r="AI96" s="9">
        <f t="shared" si="20"/>
        <v>-26.818444845496145</v>
      </c>
      <c r="AJ96" s="9">
        <f t="shared" si="21"/>
        <v>24.605513258914105</v>
      </c>
      <c r="AL96" s="9" t="str">
        <f t="shared" si="24"/>
        <v>0.00118843522371517-0.00494571789722661i</v>
      </c>
      <c r="AM96" s="9" t="str">
        <f t="shared" si="25"/>
        <v>0.999992946221654-0.00245760453779186i</v>
      </c>
      <c r="AN96" s="9" t="str">
        <f t="shared" si="28"/>
        <v>-0.747278823394373+3.14381883072334i</v>
      </c>
      <c r="AO96" s="9">
        <f t="shared" si="29"/>
        <v>3.2314118400947205</v>
      </c>
      <c r="AP96" s="9">
        <f t="shared" si="30"/>
        <v>1.8041633588115953</v>
      </c>
      <c r="AQ96" s="9">
        <f t="shared" si="31"/>
        <v>103.37094601205119</v>
      </c>
      <c r="AR96" s="9">
        <f t="shared" si="32"/>
        <v>10.187846238547406</v>
      </c>
      <c r="AS96" s="9">
        <f t="shared" si="33"/>
        <v>34.793359497461509</v>
      </c>
      <c r="AT96" s="9">
        <f t="shared" si="34"/>
        <v>76.552501166555047</v>
      </c>
    </row>
    <row r="97" spans="25:46" x14ac:dyDescent="0.25">
      <c r="Y97" s="9">
        <v>95</v>
      </c>
      <c r="Z97" s="9">
        <f t="shared" si="26"/>
        <v>344.8663125345048</v>
      </c>
      <c r="AA97" s="9" t="str">
        <f t="shared" si="35"/>
        <v>2166.858947858i</v>
      </c>
      <c r="AB97" s="9">
        <f>(Assumed_Efficiency/100)*Rout/'4. Current Sense Resistor'!$B$11</f>
        <v>135.14141414141415</v>
      </c>
      <c r="AD97" s="9" t="str">
        <f t="shared" si="22"/>
        <v>0.796193473901811-0.399455305008527i</v>
      </c>
      <c r="AE97" s="9" t="str">
        <f t="shared" si="27"/>
        <v>0.99981571602364-0.0288217466198565i</v>
      </c>
      <c r="AF97" s="9" t="str">
        <f t="shared" si="23"/>
        <v>14.7834175601581-7.95819371602672i</v>
      </c>
      <c r="AG97" s="9">
        <f t="shared" si="18"/>
        <v>16.789350254843036</v>
      </c>
      <c r="AH97" s="9">
        <f t="shared" si="19"/>
        <v>-0.49383081821002173</v>
      </c>
      <c r="AI97" s="9">
        <f t="shared" si="20"/>
        <v>-28.294421676926444</v>
      </c>
      <c r="AJ97" s="9">
        <f t="shared" si="21"/>
        <v>24.500677786731888</v>
      </c>
      <c r="AL97" s="9" t="str">
        <f t="shared" si="24"/>
        <v>0.00118560069200574-0.00465070143610302i</v>
      </c>
      <c r="AM97" s="9" t="str">
        <f t="shared" si="25"/>
        <v>0.999992022890253-0.0026135068657199i</v>
      </c>
      <c r="AN97" s="9" t="str">
        <f t="shared" si="28"/>
        <v>-0.745477365730385+2.95650820323264i</v>
      </c>
      <c r="AO97" s="9">
        <f t="shared" si="29"/>
        <v>3.0490453028117193</v>
      </c>
      <c r="AP97" s="9">
        <f t="shared" si="30"/>
        <v>1.8177955288037535</v>
      </c>
      <c r="AQ97" s="9">
        <f t="shared" si="31"/>
        <v>104.15201181820674</v>
      </c>
      <c r="AR97" s="9">
        <f t="shared" si="32"/>
        <v>9.6832775434898331</v>
      </c>
      <c r="AS97" s="9">
        <f t="shared" si="33"/>
        <v>34.183955330221721</v>
      </c>
      <c r="AT97" s="9">
        <f t="shared" si="34"/>
        <v>75.857590141280298</v>
      </c>
    </row>
    <row r="98" spans="25:46" x14ac:dyDescent="0.25">
      <c r="Y98" s="9">
        <v>96</v>
      </c>
      <c r="Z98" s="9">
        <f t="shared" si="26"/>
        <v>366.74388967956821</v>
      </c>
      <c r="AA98" s="9" t="str">
        <f t="shared" si="35"/>
        <v>2304.31981913255i</v>
      </c>
      <c r="AB98" s="9">
        <f>(Assumed_Efficiency/100)*Rout/'4. Current Sense Resistor'!$B$11</f>
        <v>135.14141414141415</v>
      </c>
      <c r="AD98" s="9" t="str">
        <f t="shared" si="22"/>
        <v>0.775582782436434-0.413612987148512i</v>
      </c>
      <c r="AE98" s="9" t="str">
        <f t="shared" si="27"/>
        <v>0.999791594255082-0.0306499795547396i</v>
      </c>
      <c r="AF98" s="9" t="str">
        <f t="shared" si="23"/>
        <v>14.3728193150818-8.24026324446293i</v>
      </c>
      <c r="AG98" s="9">
        <f t="shared" si="18"/>
        <v>16.567434122459495</v>
      </c>
      <c r="AH98" s="9">
        <f t="shared" si="19"/>
        <v>-0.52057281333401229</v>
      </c>
      <c r="AI98" s="9">
        <f t="shared" si="20"/>
        <v>-29.826625133290531</v>
      </c>
      <c r="AJ98" s="9">
        <f t="shared" si="21"/>
        <v>24.385105047391317</v>
      </c>
      <c r="AL98" s="9" t="str">
        <f t="shared" si="24"/>
        <v>0.00118309423987185-0.00437328153214752i</v>
      </c>
      <c r="AM98" s="9" t="str">
        <f t="shared" si="25"/>
        <v>0.999990978697116-0.00277929873093652i</v>
      </c>
      <c r="AN98" s="9" t="str">
        <f t="shared" si="28"/>
        <v>-0.743884249346288+2.78038392465368i</v>
      </c>
      <c r="AO98" s="9">
        <f t="shared" si="29"/>
        <v>2.8781762532718687</v>
      </c>
      <c r="AP98" s="9">
        <f t="shared" si="30"/>
        <v>1.8322207187236239</v>
      </c>
      <c r="AQ98" s="9">
        <f t="shared" si="31"/>
        <v>104.97851431928999</v>
      </c>
      <c r="AR98" s="9">
        <f t="shared" si="32"/>
        <v>9.1823477133431517</v>
      </c>
      <c r="AS98" s="9">
        <f t="shared" si="33"/>
        <v>33.567452760734469</v>
      </c>
      <c r="AT98" s="9">
        <f t="shared" si="34"/>
        <v>75.151889185999451</v>
      </c>
    </row>
    <row r="99" spans="25:46" x14ac:dyDescent="0.25">
      <c r="Y99" s="9">
        <v>97</v>
      </c>
      <c r="Z99" s="9">
        <f t="shared" si="26"/>
        <v>390.00933326545766</v>
      </c>
      <c r="AA99" s="9" t="str">
        <f t="shared" si="35"/>
        <v>2450.50091243643i</v>
      </c>
      <c r="AB99" s="9">
        <f>(Assumed_Efficiency/100)*Rout/'4. Current Sense Resistor'!$B$11</f>
        <v>135.14141414141415</v>
      </c>
      <c r="AD99" s="9" t="str">
        <f t="shared" si="22"/>
        <v>0.753543885933076-0.427135311767121i</v>
      </c>
      <c r="AE99" s="9" t="str">
        <f t="shared" si="27"/>
        <v>0.999764315228658-0.0325941599064947i</v>
      </c>
      <c r="AF99" s="9" t="str">
        <f t="shared" si="23"/>
        <v>13.9337688832922-8.50967709607933i</v>
      </c>
      <c r="AG99" s="9">
        <f t="shared" si="18"/>
        <v>16.326803715747278</v>
      </c>
      <c r="AH99" s="9">
        <f t="shared" si="19"/>
        <v>-0.54826698099589743</v>
      </c>
      <c r="AI99" s="9">
        <f t="shared" si="20"/>
        <v>-31.413384057444233</v>
      </c>
      <c r="AJ99" s="9">
        <f t="shared" si="21"/>
        <v>24.258023432049889</v>
      </c>
      <c r="AL99" s="9" t="str">
        <f t="shared" si="24"/>
        <v>0.00118087789549641-0.00411240886284184i</v>
      </c>
      <c r="AM99" s="9" t="str">
        <f t="shared" si="25"/>
        <v>0.999989797822105-0.00295560738869381i</v>
      </c>
      <c r="AN99" s="9" t="str">
        <f t="shared" si="28"/>
        <v>-0.742475339120988+2.61477981661645i</v>
      </c>
      <c r="AO99" s="9">
        <f t="shared" si="29"/>
        <v>2.7181506798902051</v>
      </c>
      <c r="AP99" s="9">
        <f t="shared" si="30"/>
        <v>1.847467141852128</v>
      </c>
      <c r="AQ99" s="9">
        <f t="shared" si="31"/>
        <v>105.85207001722391</v>
      </c>
      <c r="AR99" s="9">
        <f t="shared" si="32"/>
        <v>8.6854705610347924</v>
      </c>
      <c r="AS99" s="9">
        <f t="shared" si="33"/>
        <v>32.94349399308468</v>
      </c>
      <c r="AT99" s="9">
        <f t="shared" si="34"/>
        <v>74.438685959779676</v>
      </c>
    </row>
    <row r="100" spans="25:46" x14ac:dyDescent="0.25">
      <c r="Y100" s="9">
        <v>98</v>
      </c>
      <c r="Z100" s="9">
        <f t="shared" si="26"/>
        <v>414.75068655422291</v>
      </c>
      <c r="AA100" s="9" t="str">
        <f t="shared" si="35"/>
        <v>2605.95541990014i</v>
      </c>
      <c r="AB100" s="9">
        <f>(Assumed_Efficiency/100)*Rout/'4. Current Sense Resistor'!$B$11</f>
        <v>135.14141414141415</v>
      </c>
      <c r="AD100" s="9" t="str">
        <f t="shared" si="22"/>
        <v>0.730106931472301-0.439850912803561i</v>
      </c>
      <c r="AE100" s="9" t="str">
        <f t="shared" si="27"/>
        <v>0.999733465738075-0.0346616366970108i</v>
      </c>
      <c r="AF100" s="9" t="str">
        <f t="shared" si="23"/>
        <v>13.4668668321736-8.76302149193824i</v>
      </c>
      <c r="AG100" s="9">
        <f t="shared" si="18"/>
        <v>16.066955154716432</v>
      </c>
      <c r="AH100" s="9">
        <f t="shared" si="19"/>
        <v>-0.57687400129490984</v>
      </c>
      <c r="AI100" s="9">
        <f t="shared" si="20"/>
        <v>-33.052445585022724</v>
      </c>
      <c r="AJ100" s="9">
        <f t="shared" si="21"/>
        <v>24.118671630105688</v>
      </c>
      <c r="AL100" s="9" t="str">
        <f t="shared" si="24"/>
        <v>0.00117891808160822-0.00386709663835728i</v>
      </c>
      <c r="AM100" s="9" t="str">
        <f t="shared" si="25"/>
        <v>0.999988462374409-0.00314309986251859i</v>
      </c>
      <c r="AN100" s="9" t="str">
        <f t="shared" si="28"/>
        <v>-0.741229290284035+2.45906945693219i</v>
      </c>
      <c r="AO100" s="9">
        <f t="shared" si="29"/>
        <v>2.5683542307851051</v>
      </c>
      <c r="AP100" s="9">
        <f t="shared" si="30"/>
        <v>1.8635615426805985</v>
      </c>
      <c r="AQ100" s="9">
        <f t="shared" si="31"/>
        <v>106.77421125848713</v>
      </c>
      <c r="AR100" s="9">
        <f t="shared" si="32"/>
        <v>8.1930984398511377</v>
      </c>
      <c r="AS100" s="9">
        <f t="shared" si="33"/>
        <v>32.311770069956822</v>
      </c>
      <c r="AT100" s="9">
        <f t="shared" si="34"/>
        <v>73.721765673464404</v>
      </c>
    </row>
    <row r="101" spans="25:46" x14ac:dyDescent="0.25">
      <c r="Y101" s="9">
        <v>99</v>
      </c>
      <c r="Z101" s="9">
        <f t="shared" si="26"/>
        <v>441.06157808309626</v>
      </c>
      <c r="AA101" s="9" t="str">
        <f t="shared" si="35"/>
        <v>2771.27162697315i</v>
      </c>
      <c r="AB101" s="9">
        <f>(Assumed_Efficiency/100)*Rout/'4. Current Sense Resistor'!$B$11</f>
        <v>135.14141414141415</v>
      </c>
      <c r="AD101" s="9" t="str">
        <f t="shared" si="22"/>
        <v>0.705328395629296-0.451585450240492i</v>
      </c>
      <c r="AE101" s="9" t="str">
        <f t="shared" si="27"/>
        <v>0.999698578510338-0.0368602238510041i</v>
      </c>
      <c r="AF101" s="9" t="str">
        <f t="shared" si="23"/>
        <v>12.9732382530406-8.99682341377868i</v>
      </c>
      <c r="AG101" s="9">
        <f t="shared" si="18"/>
        <v>15.787581901889604</v>
      </c>
      <c r="AH101" s="9">
        <f t="shared" si="19"/>
        <v>-0.60634410777924597</v>
      </c>
      <c r="AI101" s="9">
        <f t="shared" si="20"/>
        <v>-34.7409583083763</v>
      </c>
      <c r="AJ101" s="9">
        <f t="shared" si="21"/>
        <v>23.966312331532439</v>
      </c>
      <c r="AL101" s="9" t="str">
        <f t="shared" si="24"/>
        <v>0.00117718510695855-0.00363641688189349i</v>
      </c>
      <c r="AM101" s="9" t="str">
        <f t="shared" si="25"/>
        <v>0.99998695212155-0.00334248546227467i</v>
      </c>
      <c r="AN101" s="9" t="str">
        <f t="shared" si="28"/>
        <v>-0.740127225151818+2.31266381832494i</v>
      </c>
      <c r="AO101" s="9">
        <f t="shared" si="29"/>
        <v>2.4282096791669829</v>
      </c>
      <c r="AP101" s="9">
        <f t="shared" si="30"/>
        <v>1.8805286116609037</v>
      </c>
      <c r="AQ101" s="9">
        <f t="shared" si="31"/>
        <v>107.74635270176594</v>
      </c>
      <c r="AR101" s="9">
        <f t="shared" si="32"/>
        <v>7.7057237186854266</v>
      </c>
      <c r="AS101" s="9">
        <f t="shared" si="33"/>
        <v>31.672036050217866</v>
      </c>
      <c r="AT101" s="9">
        <f t="shared" si="34"/>
        <v>73.005394393389651</v>
      </c>
    </row>
    <row r="102" spans="25:46" x14ac:dyDescent="0.25">
      <c r="Y102" s="9">
        <v>100</v>
      </c>
      <c r="Z102" s="9">
        <f t="shared" si="26"/>
        <v>469.04157598234281</v>
      </c>
      <c r="AA102" s="9" t="str">
        <f t="shared" si="35"/>
        <v>2947.07513866861i</v>
      </c>
      <c r="AB102" s="9">
        <f>(Assumed_Efficiency/100)*Rout/'4. Current Sense Resistor'!$B$11</f>
        <v>135.14141414141415</v>
      </c>
      <c r="AD102" s="9" t="str">
        <f t="shared" si="22"/>
        <v>0.679292742906901-0.462166355911412i</v>
      </c>
      <c r="AE102" s="9" t="str">
        <f t="shared" si="27"/>
        <v>0.999659125134541-0.0391982294244392i</v>
      </c>
      <c r="AF102" s="9" t="str">
        <f t="shared" si="23"/>
        <v>12.4545657995768-9.20764514843488i</v>
      </c>
      <c r="AG102" s="9">
        <f t="shared" si="18"/>
        <v>15.488606729963948</v>
      </c>
      <c r="AH102" s="9">
        <f t="shared" si="19"/>
        <v>-0.63661706783279182</v>
      </c>
      <c r="AI102" s="9">
        <f t="shared" si="20"/>
        <v>-36.475471152812609</v>
      </c>
      <c r="AJ102" s="9">
        <f t="shared" si="21"/>
        <v>23.800247055374037</v>
      </c>
      <c r="AL102" s="9" t="str">
        <f t="shared" si="24"/>
        <v>0.00117565271662837-0.00341949693011645i</v>
      </c>
      <c r="AM102" s="9" t="str">
        <f t="shared" si="25"/>
        <v>0.999985244182921-0.003554518461003i</v>
      </c>
      <c r="AN102" s="9" t="str">
        <f t="shared" si="28"/>
        <v>-0.739152447213066+2.17500904710862i</v>
      </c>
      <c r="AO102" s="9">
        <f t="shared" si="29"/>
        <v>2.297174502562966</v>
      </c>
      <c r="AP102" s="9">
        <f t="shared" si="30"/>
        <v>1.8983903230927555</v>
      </c>
      <c r="AQ102" s="9">
        <f t="shared" si="31"/>
        <v>108.76975338169163</v>
      </c>
      <c r="AR102" s="9">
        <f t="shared" si="32"/>
        <v>7.2238797438797668</v>
      </c>
      <c r="AS102" s="9">
        <f t="shared" si="33"/>
        <v>31.024126799253803</v>
      </c>
      <c r="AT102" s="9">
        <f t="shared" si="34"/>
        <v>72.294282228879013</v>
      </c>
    </row>
    <row r="103" spans="25:46" x14ac:dyDescent="0.25">
      <c r="Y103" s="9">
        <v>101</v>
      </c>
      <c r="Z103" s="9">
        <f t="shared" si="26"/>
        <v>498.79656477026373</v>
      </c>
      <c r="AA103" s="9" t="str">
        <f t="shared" si="35"/>
        <v>3134.03124703617i</v>
      </c>
      <c r="AB103" s="9">
        <f>(Assumed_Efficiency/100)*Rout/'4. Current Sense Resistor'!$B$11</f>
        <v>135.14141414141415</v>
      </c>
      <c r="AD103" s="9" t="str">
        <f t="shared" si="22"/>
        <v>0.652113080698618-0.47142816531554i</v>
      </c>
      <c r="AE103" s="9" t="str">
        <f t="shared" si="27"/>
        <v>0.999614508066781-0.0416844866336689i</v>
      </c>
      <c r="AF103" s="9" t="str">
        <f t="shared" si="23"/>
        <v>11.9131027355388-9.3921905064782i</v>
      </c>
      <c r="AG103" s="9">
        <f t="shared" si="18"/>
        <v>15.170209599655545</v>
      </c>
      <c r="AH103" s="9">
        <f t="shared" si="19"/>
        <v>-0.66762247940078068</v>
      </c>
      <c r="AI103" s="9">
        <f t="shared" si="20"/>
        <v>-38.251950377724476</v>
      </c>
      <c r="AJ103" s="9">
        <f t="shared" si="21"/>
        <v>23.619831625418144</v>
      </c>
      <c r="AL103" s="9" t="str">
        <f t="shared" si="24"/>
        <v>0.00117429769436308-0.00321551614086783i</v>
      </c>
      <c r="AM103" s="9" t="str">
        <f t="shared" si="25"/>
        <v>0.999983312683235-0.00378000094041695i</v>
      </c>
      <c r="AN103" s="9" t="str">
        <f t="shared" si="28"/>
        <v>-0.738290188238234+2.04558437366711i</v>
      </c>
      <c r="AO103" s="9">
        <f t="shared" si="29"/>
        <v>2.1747385663200784</v>
      </c>
      <c r="AP103" s="9">
        <f t="shared" si="30"/>
        <v>1.9171651974365573</v>
      </c>
      <c r="AQ103" s="9">
        <f t="shared" si="31"/>
        <v>109.84547444247994</v>
      </c>
      <c r="AR103" s="9">
        <f t="shared" si="32"/>
        <v>6.7481411243989413</v>
      </c>
      <c r="AS103" s="9">
        <f t="shared" si="33"/>
        <v>30.367972749817085</v>
      </c>
      <c r="AT103" s="9">
        <f t="shared" si="34"/>
        <v>71.593524064755456</v>
      </c>
    </row>
    <row r="104" spans="25:46" x14ac:dyDescent="0.25">
      <c r="Y104" s="9">
        <v>102</v>
      </c>
      <c r="Z104" s="9">
        <f t="shared" si="26"/>
        <v>530.4391460512702</v>
      </c>
      <c r="AA104" s="9" t="str">
        <f t="shared" si="35"/>
        <v>3332.84744882223i</v>
      </c>
      <c r="AB104" s="9">
        <f>(Assumed_Efficiency/100)*Rout/'4. Current Sense Resistor'!$B$11</f>
        <v>135.14141414141415</v>
      </c>
      <c r="AD104" s="9" t="str">
        <f t="shared" si="22"/>
        <v>0.623930612647959-0.479218191151535i</v>
      </c>
      <c r="AE104" s="9" t="str">
        <f t="shared" si="27"/>
        <v>0.999564051590673-0.0443283867887055i</v>
      </c>
      <c r="AF104" s="9" t="str">
        <f t="shared" si="23"/>
        <v>11.3516620445831-9.54741784846569i</v>
      </c>
      <c r="AG104" s="9">
        <f t="shared" si="18"/>
        <v>14.832849313184225</v>
      </c>
      <c r="AH104" s="9">
        <f t="shared" si="19"/>
        <v>-0.69928041341070002</v>
      </c>
      <c r="AI104" s="9">
        <f t="shared" si="20"/>
        <v>-40.065816384596523</v>
      </c>
      <c r="AJ104" s="9">
        <f t="shared" si="21"/>
        <v>23.424491695055195</v>
      </c>
      <c r="AL104" s="9" t="str">
        <f t="shared" si="24"/>
        <v>0.00117309951091798-0.0030237027960321i</v>
      </c>
      <c r="AM104" s="9" t="str">
        <f t="shared" si="25"/>
        <v>0.999981128360625-0.00401978581551739i</v>
      </c>
      <c r="AN104" s="9" t="str">
        <f t="shared" si="28"/>
        <v>-0.737527384586475+1.92390014704926i</v>
      </c>
      <c r="AO104" s="9">
        <f t="shared" si="29"/>
        <v>2.0604219031138089</v>
      </c>
      <c r="AP104" s="9">
        <f t="shared" si="30"/>
        <v>1.936867493208595</v>
      </c>
      <c r="AQ104" s="9">
        <f t="shared" si="31"/>
        <v>110.97433283693613</v>
      </c>
      <c r="AR104" s="9">
        <f t="shared" si="32"/>
        <v>6.2791231591630918</v>
      </c>
      <c r="AS104" s="9">
        <f t="shared" si="33"/>
        <v>29.703614854218287</v>
      </c>
      <c r="AT104" s="9">
        <f t="shared" si="34"/>
        <v>70.908516452339597</v>
      </c>
    </row>
    <row r="105" spans="25:46" x14ac:dyDescent="0.25">
      <c r="Y105" s="9">
        <v>103</v>
      </c>
      <c r="Z105" s="9">
        <f t="shared" si="26"/>
        <v>564.08906463337905</v>
      </c>
      <c r="AA105" s="9" t="str">
        <f t="shared" si="35"/>
        <v>3544.27612284512i</v>
      </c>
      <c r="AB105" s="9">
        <f>(Assumed_Efficiency/100)*Rout/'4. Current Sense Resistor'!$B$11</f>
        <v>135.14141414141415</v>
      </c>
      <c r="AD105" s="9" t="str">
        <f t="shared" si="22"/>
        <v>0.594912760757015-0.4854022243104i</v>
      </c>
      <c r="AE105" s="9" t="str">
        <f t="shared" si="27"/>
        <v>0.999506991597419-0.0471399142384059i</v>
      </c>
      <c r="AF105" s="9" t="str">
        <f t="shared" si="23"/>
        <v>10.7735790194384-9.67065365824686i</v>
      </c>
      <c r="AG105" s="9">
        <f t="shared" si="18"/>
        <v>14.477276921639877</v>
      </c>
      <c r="AH105" s="9">
        <f t="shared" si="19"/>
        <v>-0.73150241374759417</v>
      </c>
      <c r="AI105" s="9">
        <f t="shared" si="20"/>
        <v>-41.912001011369675</v>
      </c>
      <c r="AJ105" s="9">
        <f t="shared" si="21"/>
        <v>23.213737633465858</v>
      </c>
      <c r="AL105" s="9" t="str">
        <f t="shared" si="24"/>
        <v>0.00117204001309266-0.00284333118812835i</v>
      </c>
      <c r="AM105" s="9" t="str">
        <f t="shared" si="25"/>
        <v>0.999978658123484-0.00427478004940855i</v>
      </c>
      <c r="AN105" s="9" t="str">
        <f t="shared" si="28"/>
        <v>-0.736852479324918+1.80949598642349i</v>
      </c>
      <c r="AO105" s="9">
        <f t="shared" si="29"/>
        <v>1.9537725817428184</v>
      </c>
      <c r="AP105" s="9">
        <f t="shared" si="30"/>
        <v>1.9575063384922025</v>
      </c>
      <c r="AQ105" s="9">
        <f t="shared" si="31"/>
        <v>112.15685156571033</v>
      </c>
      <c r="AR105" s="9">
        <f t="shared" si="32"/>
        <v>5.8174802128122707</v>
      </c>
      <c r="AS105" s="9">
        <f t="shared" si="33"/>
        <v>29.031217846278128</v>
      </c>
      <c r="AT105" s="9">
        <f t="shared" si="34"/>
        <v>70.244850554340644</v>
      </c>
    </row>
    <row r="106" spans="25:46" x14ac:dyDescent="0.25">
      <c r="Y106" s="9">
        <v>104</v>
      </c>
      <c r="Z106" s="9">
        <f t="shared" si="26"/>
        <v>599.87366167768641</v>
      </c>
      <c r="AA106" s="9" t="str">
        <f t="shared" si="35"/>
        <v>3769.11737721726i</v>
      </c>
      <c r="AB106" s="9">
        <f>(Assumed_Efficiency/100)*Rout/'4. Current Sense Resistor'!$B$11</f>
        <v>135.14141414141415</v>
      </c>
      <c r="AD106" s="9" t="str">
        <f t="shared" si="22"/>
        <v>0.565249921421765-0.4898699002283i</v>
      </c>
      <c r="AE106" s="9" t="str">
        <f t="shared" si="27"/>
        <v>0.999442464031659-0.0501296834395579i</v>
      </c>
      <c r="AF106" s="9" t="str">
        <f t="shared" si="23"/>
        <v>10.1826466367003-9.75969944973811i</v>
      </c>
      <c r="AG106" s="9">
        <f t="shared" si="18"/>
        <v>14.104539194072322</v>
      </c>
      <c r="AH106" s="9">
        <f t="shared" si="19"/>
        <v>-0.76419284541190358</v>
      </c>
      <c r="AI106" s="9">
        <f t="shared" si="20"/>
        <v>-43.785024776195428</v>
      </c>
      <c r="AJ106" s="9">
        <f t="shared" si="21"/>
        <v>22.987178039901139</v>
      </c>
      <c r="AL106" s="9" t="str">
        <f t="shared" si="24"/>
        <v>0.00117110314874791-0.00267371887984052i</v>
      </c>
      <c r="AM106" s="9" t="str">
        <f t="shared" si="25"/>
        <v>0.999975864549329-0.00454594807004134i</v>
      </c>
      <c r="AN106" s="9" t="str">
        <f t="shared" si="28"/>
        <v>-0.736255247165358+1.701939042548i</v>
      </c>
      <c r="AO106" s="9">
        <f t="shared" si="29"/>
        <v>1.8543646603426538</v>
      </c>
      <c r="AP106" s="9">
        <f t="shared" si="30"/>
        <v>1.9790848179668266</v>
      </c>
      <c r="AQ106" s="9">
        <f t="shared" si="31"/>
        <v>113.39320736791595</v>
      </c>
      <c r="AR106" s="9">
        <f t="shared" si="32"/>
        <v>5.3639028421442685</v>
      </c>
      <c r="AS106" s="9">
        <f t="shared" si="33"/>
        <v>28.351080882045409</v>
      </c>
      <c r="AT106" s="9">
        <f t="shared" si="34"/>
        <v>69.608182591720521</v>
      </c>
    </row>
    <row r="107" spans="25:46" x14ac:dyDescent="0.25">
      <c r="Y107" s="9">
        <v>105</v>
      </c>
      <c r="Z107" s="9">
        <f t="shared" si="26"/>
        <v>637.92835659466812</v>
      </c>
      <c r="AA107" s="9" t="str">
        <f t="shared" si="35"/>
        <v>4008.22207718884i</v>
      </c>
      <c r="AB107" s="9">
        <f>(Assumed_Efficiency/100)*Rout/'4. Current Sense Resistor'!$B$11</f>
        <v>135.14141414141415</v>
      </c>
      <c r="AD107" s="9" t="str">
        <f t="shared" si="22"/>
        <v>0.53515093345927-0.492539353409956i</v>
      </c>
      <c r="AE107" s="9" t="str">
        <f t="shared" si="27"/>
        <v>0.999369491829459-0.0533089782657978i</v>
      </c>
      <c r="AF107" s="9" t="str">
        <f t="shared" si="23"/>
        <v>9.58302527242405-9.81292449295666i</v>
      </c>
      <c r="AG107" s="9">
        <f t="shared" si="18"/>
        <v>13.715971000129256</v>
      </c>
      <c r="AH107" s="9">
        <f t="shared" si="19"/>
        <v>-0.79725055824559188</v>
      </c>
      <c r="AI107" s="9">
        <f t="shared" si="20"/>
        <v>-45.679092201921229</v>
      </c>
      <c r="AJ107" s="9">
        <f t="shared" si="21"/>
        <v>22.744531164178699</v>
      </c>
      <c r="AL107" s="9" t="str">
        <f t="shared" si="24"/>
        <v>0.00117027472364271-0.00251422412631414i</v>
      </c>
      <c r="AM107" s="9" t="str">
        <f t="shared" si="25"/>
        <v>0.999972705318116-0.00483431540128598i</v>
      </c>
      <c r="AN107" s="9" t="str">
        <f t="shared" si="28"/>
        <v>-0.735726639568417+1.6008223628033i</v>
      </c>
      <c r="AO107" s="9">
        <f t="shared" si="29"/>
        <v>1.761796221309881</v>
      </c>
      <c r="AP107" s="9">
        <f t="shared" si="30"/>
        <v>2.0015990380831949</v>
      </c>
      <c r="AQ107" s="9">
        <f t="shared" si="31"/>
        <v>114.68317715961241</v>
      </c>
      <c r="AR107" s="9">
        <f t="shared" si="32"/>
        <v>4.9191134835791726</v>
      </c>
      <c r="AS107" s="9">
        <f t="shared" si="33"/>
        <v>27.66364464775787</v>
      </c>
      <c r="AT107" s="9">
        <f t="shared" si="34"/>
        <v>69.004084957691191</v>
      </c>
    </row>
    <row r="108" spans="25:46" x14ac:dyDescent="0.25">
      <c r="Y108" s="9">
        <v>106</v>
      </c>
      <c r="Z108" s="9">
        <f t="shared" si="26"/>
        <v>678.39715951094945</v>
      </c>
      <c r="AA108" s="9" t="str">
        <f t="shared" si="35"/>
        <v>4262.49506507156i</v>
      </c>
      <c r="AB108" s="9">
        <f>(Assumed_Efficiency/100)*Rout/'4. Current Sense Resistor'!$B$11</f>
        <v>135.14141414141415</v>
      </c>
      <c r="AD108" s="9" t="str">
        <f t="shared" si="22"/>
        <v>0.504837454302285-0.493360807636102i</v>
      </c>
      <c r="AE108" s="9" t="str">
        <f t="shared" si="27"/>
        <v>0.999286970152346-0.0566897936758473i</v>
      </c>
      <c r="AF108" s="9" t="str">
        <f t="shared" si="23"/>
        <v>8.97913066664082-9.82933733722542i</v>
      </c>
      <c r="AG108" s="9">
        <f t="shared" si="18"/>
        <v>13.313176180670911</v>
      </c>
      <c r="AH108" s="9">
        <f t="shared" si="19"/>
        <v>-0.83057081064328009</v>
      </c>
      <c r="AI108" s="9">
        <f t="shared" si="20"/>
        <v>-47.588202036619421</v>
      </c>
      <c r="AJ108" s="9">
        <f t="shared" si="21"/>
        <v>22.485633586099727</v>
      </c>
      <c r="AL108" s="9" t="str">
        <f t="shared" si="24"/>
        <v>0.00116954218640999-0.00236424345062967i</v>
      </c>
      <c r="AM108" s="9" t="str">
        <f t="shared" si="25"/>
        <v>0.99996913257144-0.00514097252144051i</v>
      </c>
      <c r="AN108" s="9" t="str">
        <f t="shared" si="28"/>
        <v>-0.735258647670197+1.50576335370436i</v>
      </c>
      <c r="AO108" s="9">
        <f t="shared" si="29"/>
        <v>1.6756874876697052</v>
      </c>
      <c r="AP108" s="9">
        <f t="shared" si="30"/>
        <v>2.0250372003103307</v>
      </c>
      <c r="AQ108" s="9">
        <f t="shared" si="31"/>
        <v>116.02608493477024</v>
      </c>
      <c r="AR108" s="9">
        <f t="shared" si="32"/>
        <v>4.483860536055059</v>
      </c>
      <c r="AS108" s="9">
        <f t="shared" si="33"/>
        <v>26.969494122154785</v>
      </c>
      <c r="AT108" s="9">
        <f t="shared" si="34"/>
        <v>68.437882898150818</v>
      </c>
    </row>
    <row r="109" spans="25:46" x14ac:dyDescent="0.25">
      <c r="Y109" s="9">
        <v>107</v>
      </c>
      <c r="Z109" s="9">
        <f t="shared" si="26"/>
        <v>721.43321624585462</v>
      </c>
      <c r="AA109" s="9" t="str">
        <f t="shared" si="35"/>
        <v>4532.89858442727i</v>
      </c>
      <c r="AB109" s="9">
        <f>(Assumed_Efficiency/100)*Rout/'4. Current Sense Resistor'!$B$11</f>
        <v>135.14141414141415</v>
      </c>
      <c r="AD109" s="9" t="str">
        <f t="shared" si="22"/>
        <v>0.474537548230444-0.49231881526094i</v>
      </c>
      <c r="AE109" s="9" t="str">
        <f t="shared" si="27"/>
        <v>0.999193649695949-0.0602848798635632i</v>
      </c>
      <c r="AF109" s="9" t="str">
        <f t="shared" si="23"/>
        <v>8.37550619034407-9.80863042214166i</v>
      </c>
      <c r="AG109" s="9">
        <f t="shared" si="18"/>
        <v>12.897997313639616</v>
      </c>
      <c r="AH109" s="9">
        <f t="shared" si="19"/>
        <v>-0.86404737752685368</v>
      </c>
      <c r="AI109" s="9">
        <f t="shared" si="20"/>
        <v>-49.506268031635607</v>
      </c>
      <c r="AJ109" s="9">
        <f t="shared" si="21"/>
        <v>22.210445642952784</v>
      </c>
      <c r="AL109" s="9" t="str">
        <f t="shared" si="24"/>
        <v>0.00116889443841577-0.0022232093634151i</v>
      </c>
      <c r="AM109" s="9" t="str">
        <f t="shared" si="25"/>
        <v>0.999965092187938-0.00546707896301289i</v>
      </c>
      <c r="AN109" s="9" t="str">
        <f t="shared" si="28"/>
        <v>-0.734844180956163+1.41640233516088i</v>
      </c>
      <c r="AO109" s="9">
        <f t="shared" si="29"/>
        <v>1.5956790232795341</v>
      </c>
      <c r="AP109" s="9">
        <f t="shared" si="30"/>
        <v>2.0493787197772937</v>
      </c>
      <c r="AQ109" s="9">
        <f t="shared" si="31"/>
        <v>117.42075126716274</v>
      </c>
      <c r="AR109" s="9">
        <f t="shared" si="32"/>
        <v>4.0589107172637515</v>
      </c>
      <c r="AS109" s="9">
        <f t="shared" si="33"/>
        <v>26.269356360216534</v>
      </c>
      <c r="AT109" s="9">
        <f t="shared" si="34"/>
        <v>67.914483235527143</v>
      </c>
    </row>
    <row r="110" spans="25:46" x14ac:dyDescent="0.25">
      <c r="Y110" s="9">
        <v>108</v>
      </c>
      <c r="Z110" s="9">
        <f t="shared" si="26"/>
        <v>767.19938786011153</v>
      </c>
      <c r="AA110" s="9" t="str">
        <f t="shared" si="35"/>
        <v>4820.45592147983i</v>
      </c>
      <c r="AB110" s="9">
        <f>(Assumed_Efficiency/100)*Rout/'4. Current Sense Resistor'!$B$11</f>
        <v>135.14141414141415</v>
      </c>
      <c r="AD110" s="9" t="str">
        <f t="shared" si="22"/>
        <v>0.444478872086217-0.489432960743459i</v>
      </c>
      <c r="AE110" s="9" t="str">
        <f t="shared" si="27"/>
        <v>0.999088117823331-0.0641077890145896i</v>
      </c>
      <c r="AF110" s="9" t="str">
        <f t="shared" si="23"/>
        <v>7.7766870936815-9.75119409368394i</v>
      </c>
      <c r="AG110" s="9">
        <f t="shared" si="18"/>
        <v>12.472475632597121</v>
      </c>
      <c r="AH110" s="9">
        <f t="shared" si="19"/>
        <v>-0.89757475198977177</v>
      </c>
      <c r="AI110" s="9">
        <f t="shared" si="20"/>
        <v>-51.427245086515512</v>
      </c>
      <c r="AJ110" s="9">
        <f t="shared" si="21"/>
        <v>21.919053282669051</v>
      </c>
      <c r="AL110" s="9" t="str">
        <f t="shared" si="24"/>
        <v>0.00116832166562258-0.0020905882180821i</v>
      </c>
      <c r="AM110" s="9" t="str">
        <f t="shared" si="25"/>
        <v>0.999960522963942-0.00581386766837372i</v>
      </c>
      <c r="AN110" s="9" t="str">
        <f t="shared" si="28"/>
        <v>-0.734476959845196+1.33240118108632i</v>
      </c>
      <c r="AO110" s="9">
        <f t="shared" si="29"/>
        <v>1.5214300220199621</v>
      </c>
      <c r="AP110" s="9">
        <f t="shared" si="30"/>
        <v>2.0745934334575877</v>
      </c>
      <c r="AQ110" s="9">
        <f t="shared" si="31"/>
        <v>118.86544794267436</v>
      </c>
      <c r="AR110" s="9">
        <f t="shared" si="32"/>
        <v>3.6450396366837081</v>
      </c>
      <c r="AS110" s="9">
        <f t="shared" si="33"/>
        <v>25.56409291935276</v>
      </c>
      <c r="AT110" s="9">
        <f t="shared" si="34"/>
        <v>67.438202856158853</v>
      </c>
    </row>
    <row r="111" spans="25:46" x14ac:dyDescent="0.25">
      <c r="Y111" s="9">
        <v>109</v>
      </c>
      <c r="Z111" s="9">
        <f t="shared" si="26"/>
        <v>815.86886696986198</v>
      </c>
      <c r="AA111" s="9" t="str">
        <f t="shared" si="35"/>
        <v>5126.25527753029i</v>
      </c>
      <c r="AB111" s="9">
        <f>(Assumed_Efficiency/100)*Rout/'4. Current Sense Resistor'!$B$11</f>
        <v>135.14141414141415</v>
      </c>
      <c r="AD111" s="9" t="str">
        <f t="shared" si="22"/>
        <v>0.414881886758372-0.484756969401629i</v>
      </c>
      <c r="AE111" s="9" t="str">
        <f t="shared" si="27"/>
        <v>0.998968777240901-0.0681729247957154i</v>
      </c>
      <c r="AF111" s="9" t="str">
        <f t="shared" si="23"/>
        <v>7.18706526741534-9.65809884986555i</v>
      </c>
      <c r="AG111" s="9">
        <f t="shared" si="18"/>
        <v>12.038803119573897</v>
      </c>
      <c r="AH111" s="9">
        <f t="shared" si="19"/>
        <v>-0.93105034230941219</v>
      </c>
      <c r="AI111" s="9">
        <f t="shared" si="20"/>
        <v>-53.345255128539911</v>
      </c>
      <c r="AJ111" s="9">
        <f t="shared" si="21"/>
        <v>21.611666242750882</v>
      </c>
      <c r="AL111" s="9" t="str">
        <f t="shared" si="24"/>
        <v>0.00116781518991112-0.00196587819366438i</v>
      </c>
      <c r="AM111" s="9" t="str">
        <f t="shared" si="25"/>
        <v>0.999955355687013-0.00618264961665888i</v>
      </c>
      <c r="AN111" s="9" t="str">
        <f t="shared" si="28"/>
        <v>-0.734151420557246+1.25344204127105i</v>
      </c>
      <c r="AO111" s="9">
        <f t="shared" si="29"/>
        <v>1.4526166938087828</v>
      </c>
      <c r="AP111" s="9">
        <f t="shared" si="30"/>
        <v>2.1006409474391452</v>
      </c>
      <c r="AQ111" s="9">
        <f t="shared" si="31"/>
        <v>120.35786056062561</v>
      </c>
      <c r="AR111" s="9">
        <f t="shared" si="32"/>
        <v>3.2430206173443277</v>
      </c>
      <c r="AS111" s="9">
        <f t="shared" si="33"/>
        <v>24.85468686009521</v>
      </c>
      <c r="AT111" s="9">
        <f t="shared" si="34"/>
        <v>67.012605432085707</v>
      </c>
    </row>
    <row r="112" spans="25:46" x14ac:dyDescent="0.25">
      <c r="Y112" s="9">
        <v>110</v>
      </c>
      <c r="Z112" s="9">
        <f t="shared" si="26"/>
        <v>867.62583315832671</v>
      </c>
      <c r="AA112" s="9" t="str">
        <f t="shared" si="35"/>
        <v>5451.45388702985i</v>
      </c>
      <c r="AB112" s="9">
        <f>(Assumed_Efficiency/100)*Rout/'4. Current Sense Resistor'!$B$11</f>
        <v>135.14141414141415</v>
      </c>
      <c r="AD112" s="9" t="str">
        <f t="shared" si="22"/>
        <v>0.385953519951004-0.478376296070951i</v>
      </c>
      <c r="AE112" s="9" t="str">
        <f t="shared" si="27"/>
        <v>0.99883382189865-0.0724955947031323i</v>
      </c>
      <c r="AF112" s="9" t="str">
        <f t="shared" si="23"/>
        <v>6.61076299463757-9.5310473037093i</v>
      </c>
      <c r="AG112" s="9">
        <f t="shared" si="18"/>
        <v>11.599269376853606</v>
      </c>
      <c r="AH112" s="9">
        <f t="shared" si="19"/>
        <v>-0.96437656649293979</v>
      </c>
      <c r="AI112" s="9">
        <f t="shared" si="20"/>
        <v>-55.254707121362856</v>
      </c>
      <c r="AJ112" s="9">
        <f t="shared" si="21"/>
        <v>21.288612688686719</v>
      </c>
      <c r="AL112" s="9" t="str">
        <f t="shared" si="24"/>
        <v>0.00116736733760866-0.0018486073977037i</v>
      </c>
      <c r="AM112" s="9" t="str">
        <f t="shared" si="25"/>
        <v>0.999949512088378-0.00657481873810391i</v>
      </c>
      <c r="AN112" s="9" t="str">
        <f t="shared" si="28"/>
        <v>-0.733862630824011+1.17922613973184i</v>
      </c>
      <c r="AO112" s="9">
        <f t="shared" si="29"/>
        <v>1.3889307576502135</v>
      </c>
      <c r="AP112" s="9">
        <f t="shared" si="30"/>
        <v>2.1274701757981127</v>
      </c>
      <c r="AQ112" s="9">
        <f t="shared" si="31"/>
        <v>121.89506211318715</v>
      </c>
      <c r="AR112" s="9">
        <f t="shared" si="32"/>
        <v>2.8536119079849582</v>
      </c>
      <c r="AS112" s="9">
        <f t="shared" si="33"/>
        <v>24.142224596671678</v>
      </c>
      <c r="AT112" s="9">
        <f t="shared" si="34"/>
        <v>66.640354991824296</v>
      </c>
    </row>
    <row r="113" spans="25:46" x14ac:dyDescent="0.25">
      <c r="Y113" s="9">
        <v>111</v>
      </c>
      <c r="Z113" s="9">
        <f t="shared" si="26"/>
        <v>922.66614996535543</v>
      </c>
      <c r="AA113" s="9" t="str">
        <f t="shared" si="35"/>
        <v>5797.28239689428i</v>
      </c>
      <c r="AB113" s="9">
        <f>(Assumed_Efficiency/100)*Rout/'4. Current Sense Resistor'!$B$11</f>
        <v>135.14141414141415</v>
      </c>
      <c r="AD113" s="9" t="str">
        <f t="shared" si="22"/>
        <v>0.357881657838522-0.47040439212227i</v>
      </c>
      <c r="AE113" s="9" t="str">
        <f t="shared" si="27"/>
        <v>0.998681209755744-0.0770920653942792i</v>
      </c>
      <c r="AF113" s="9" t="str">
        <f t="shared" si="23"/>
        <v>6.05152321512984-9.37229981708083i</v>
      </c>
      <c r="AG113" s="9">
        <f t="shared" si="18"/>
        <v>11.156206213785612</v>
      </c>
      <c r="AH113" s="9">
        <f t="shared" si="19"/>
        <v>-0.99746275509837867</v>
      </c>
      <c r="AI113" s="9">
        <f t="shared" si="20"/>
        <v>-57.150406088628337</v>
      </c>
      <c r="AJ113" s="9">
        <f t="shared" si="21"/>
        <v>20.950330665271206</v>
      </c>
      <c r="AL113" s="9" t="str">
        <f t="shared" si="24"/>
        <v>0.00116697132323305-0.00173833208207016i</v>
      </c>
      <c r="AM113" s="9" t="str">
        <f t="shared" si="25"/>
        <v>0.999942903658444-0.00699185713281138i</v>
      </c>
      <c r="AN113" s="9" t="str">
        <f t="shared" si="28"/>
        <v>-0.733606215166107+1.1094726450312i</v>
      </c>
      <c r="AO113" s="9">
        <f t="shared" si="29"/>
        <v>1.3300780537257457</v>
      </c>
      <c r="AP113" s="9">
        <f t="shared" si="30"/>
        <v>2.1550191231309026</v>
      </c>
      <c r="AQ113" s="9">
        <f t="shared" si="31"/>
        <v>123.4735005253842</v>
      </c>
      <c r="AR113" s="9">
        <f t="shared" si="32"/>
        <v>2.4775425532925013</v>
      </c>
      <c r="AS113" s="9">
        <f t="shared" si="33"/>
        <v>23.427873218563708</v>
      </c>
      <c r="AT113" s="9">
        <f t="shared" si="34"/>
        <v>66.323094436755866</v>
      </c>
    </row>
    <row r="114" spans="25:46" x14ac:dyDescent="0.25">
      <c r="Y114" s="9">
        <v>112</v>
      </c>
      <c r="Z114" s="9">
        <f t="shared" si="26"/>
        <v>981.19810609251715</v>
      </c>
      <c r="AA114" s="9" t="str">
        <f t="shared" si="35"/>
        <v>6165.04952363294i</v>
      </c>
      <c r="AB114" s="9">
        <f>(Assumed_Efficiency/100)*Rout/'4. Current Sense Resistor'!$B$11</f>
        <v>135.14141414141415</v>
      </c>
      <c r="AD114" s="9" t="str">
        <f t="shared" si="22"/>
        <v>0.330830757784929-0.460977947282931i</v>
      </c>
      <c r="AE114" s="9" t="str">
        <f t="shared" si="27"/>
        <v>0.998508632006699-0.0819796211244568i</v>
      </c>
      <c r="AF114" s="9" t="str">
        <f t="shared" si="23"/>
        <v>5.5126221230134-9.18457971101672i</v>
      </c>
      <c r="AG114" s="9">
        <f t="shared" si="18"/>
        <v>10.711932931976223</v>
      </c>
      <c r="AH114" s="9">
        <f t="shared" si="19"/>
        <v>-1.0302267886251946</v>
      </c>
      <c r="AI114" s="9">
        <f t="shared" si="20"/>
        <v>-59.027646929540012</v>
      </c>
      <c r="AJ114" s="9">
        <f t="shared" si="21"/>
        <v>20.597356897398274</v>
      </c>
      <c r="AL114" s="9" t="str">
        <f t="shared" si="24"/>
        <v>0.0011666211466916-0.0016346349650191i</v>
      </c>
      <c r="AM114" s="9" t="str">
        <f t="shared" si="25"/>
        <v>0.999935430307553-0.00743534061178208i</v>
      </c>
      <c r="AN114" s="9" t="str">
        <f t="shared" si="28"/>
        <v>-0.733378288605106+1.04391760832431i</v>
      </c>
      <c r="AO114" s="9">
        <f t="shared" si="29"/>
        <v>1.2757772874475002</v>
      </c>
      <c r="AP114" s="9">
        <f t="shared" si="30"/>
        <v>2.1832149580010691</v>
      </c>
      <c r="AQ114" s="9">
        <f t="shared" si="31"/>
        <v>125.08900286329254</v>
      </c>
      <c r="AR114" s="9">
        <f t="shared" si="32"/>
        <v>2.1154973235247088</v>
      </c>
      <c r="AS114" s="9">
        <f t="shared" si="33"/>
        <v>22.712854220922985</v>
      </c>
      <c r="AT114" s="9">
        <f t="shared" si="34"/>
        <v>66.061355933752523</v>
      </c>
    </row>
    <row r="115" spans="25:46" x14ac:dyDescent="0.25">
      <c r="Y115" s="9">
        <v>113</v>
      </c>
      <c r="Z115" s="9">
        <f t="shared" si="26"/>
        <v>1043.443203628628</v>
      </c>
      <c r="AA115" s="9" t="str">
        <f t="shared" si="35"/>
        <v>6556.14700591579i</v>
      </c>
      <c r="AB115" s="9">
        <f>(Assumed_Efficiency/100)*Rout/'4. Current Sense Resistor'!$B$11</f>
        <v>135.14141414141415</v>
      </c>
      <c r="AD115" s="9" t="str">
        <f t="shared" si="22"/>
        <v>0.304938764530097-0.4502514638605i</v>
      </c>
      <c r="AE115" s="9" t="str">
        <f t="shared" si="27"/>
        <v>0.998313478311979-0.0871766254033739i</v>
      </c>
      <c r="AF115" s="9" t="str">
        <f t="shared" si="23"/>
        <v>4.99680773142879-8.97096517649177i</v>
      </c>
      <c r="AG115" s="9">
        <f t="shared" si="18"/>
        <v>10.268705064549014</v>
      </c>
      <c r="AH115" s="9">
        <f t="shared" si="19"/>
        <v>-1.0625964163137172</v>
      </c>
      <c r="AI115" s="9">
        <f t="shared" si="20"/>
        <v>-60.882289980502172</v>
      </c>
      <c r="AJ115" s="9">
        <f t="shared" si="21"/>
        <v>20.230313606553199</v>
      </c>
      <c r="AL115" s="9" t="str">
        <f t="shared" si="24"/>
        <v>0.00116631150237783-0.00153712365318064i</v>
      </c>
      <c r="AM115" s="9" t="str">
        <f t="shared" si="25"/>
        <v>0.999926978851783-0.00790694457887067i</v>
      </c>
      <c r="AN115" s="9" t="str">
        <f t="shared" si="28"/>
        <v>-0.733175397806513+0.982312965142434i</v>
      </c>
      <c r="AO115" s="9">
        <f t="shared" si="29"/>
        <v>1.2257589181546507</v>
      </c>
      <c r="AP115" s="9">
        <f t="shared" si="30"/>
        <v>2.211974414838263</v>
      </c>
      <c r="AQ115" s="9">
        <f t="shared" si="31"/>
        <v>126.73679836115241</v>
      </c>
      <c r="AR115" s="9">
        <f t="shared" si="32"/>
        <v>1.768101233816308</v>
      </c>
      <c r="AS115" s="9">
        <f t="shared" si="33"/>
        <v>21.998414840369506</v>
      </c>
      <c r="AT115" s="9">
        <f t="shared" si="34"/>
        <v>65.85450838065023</v>
      </c>
    </row>
    <row r="116" spans="25:46" x14ac:dyDescent="0.25">
      <c r="Y116" s="9">
        <v>114</v>
      </c>
      <c r="Z116" s="9">
        <f t="shared" si="26"/>
        <v>1109.6369962786232</v>
      </c>
      <c r="AA116" s="9" t="str">
        <f t="shared" si="35"/>
        <v>6972.05487132073i</v>
      </c>
      <c r="AB116" s="9">
        <f>(Assumed_Efficiency/100)*Rout/'4. Current Sense Resistor'!$B$11</f>
        <v>135.14141414141415</v>
      </c>
      <c r="AD116" s="9" t="str">
        <f t="shared" si="22"/>
        <v>0.28031539396944-0.438391540756331i</v>
      </c>
      <c r="AE116" s="9" t="str">
        <f t="shared" si="27"/>
        <v>0.998092797519055-0.0927025859776404i</v>
      </c>
      <c r="AF116" s="9" t="str">
        <f t="shared" si="23"/>
        <v>4.50626568173212-8.73477540377738i</v>
      </c>
      <c r="AG116" s="9">
        <f t="shared" si="18"/>
        <v>9.8286688696278173</v>
      </c>
      <c r="AH116" s="9">
        <f t="shared" si="19"/>
        <v>-1.0945102262561002</v>
      </c>
      <c r="AI116" s="9">
        <f t="shared" si="20"/>
        <v>-62.71081659838336</v>
      </c>
      <c r="AJ116" s="9">
        <f t="shared" si="21"/>
        <v>19.849894076437675</v>
      </c>
      <c r="AL116" s="9" t="str">
        <f t="shared" si="24"/>
        <v>0.00116603769878916-0.00144542915754777i</v>
      </c>
      <c r="AM116" s="9" t="str">
        <f t="shared" si="25"/>
        <v>0.999917421300988-0.00840845027315165i</v>
      </c>
      <c r="AN116" s="9" t="str">
        <f t="shared" si="28"/>
        <v>-0.732994468762272+0.924425597157023i</v>
      </c>
      <c r="AO116" s="9">
        <f t="shared" si="29"/>
        <v>1.1797642035234006</v>
      </c>
      <c r="AP116" s="9">
        <f t="shared" si="30"/>
        <v>2.2412045471038486</v>
      </c>
      <c r="AQ116" s="9">
        <f t="shared" si="31"/>
        <v>128.41156157457965</v>
      </c>
      <c r="AR116" s="9">
        <f t="shared" si="32"/>
        <v>1.4359042928736572</v>
      </c>
      <c r="AS116" s="9">
        <f t="shared" si="33"/>
        <v>21.285798369311333</v>
      </c>
      <c r="AT116" s="9">
        <f t="shared" si="34"/>
        <v>65.70074497619629</v>
      </c>
    </row>
    <row r="117" spans="25:46" x14ac:dyDescent="0.25">
      <c r="Y117" s="9">
        <v>115</v>
      </c>
      <c r="Z117" s="9">
        <f t="shared" si="26"/>
        <v>1180.0299807678607</v>
      </c>
      <c r="AA117" s="9" t="str">
        <f t="shared" si="35"/>
        <v>7414.34703719203i</v>
      </c>
      <c r="AB117" s="9">
        <f>(Assumed_Efficiency/100)*Rout/'4. Current Sense Resistor'!$B$11</f>
        <v>135.14141414141415</v>
      </c>
      <c r="AD117" s="9" t="str">
        <f t="shared" si="22"/>
        <v>0.257041737313609-0.425571225225242i</v>
      </c>
      <c r="AE117" s="9" t="str">
        <f t="shared" si="27"/>
        <v>0.997843253295309-0.0985782232322131i</v>
      </c>
      <c r="AF117" s="9" t="str">
        <f t="shared" si="23"/>
        <v>4.04261135662843-8.4794580614474i</v>
      </c>
      <c r="AG117" s="9">
        <f t="shared" si="18"/>
        <v>9.3938232683283136</v>
      </c>
      <c r="AH117" s="9">
        <f t="shared" si="19"/>
        <v>-1.1259182597562558</v>
      </c>
      <c r="AI117" s="9">
        <f t="shared" si="20"/>
        <v>-64.510364360747786</v>
      </c>
      <c r="AJ117" s="9">
        <f t="shared" si="21"/>
        <v>19.456847705593116</v>
      </c>
      <c r="AL117" s="9" t="str">
        <f t="shared" si="24"/>
        <v>0.00116579558744797-0.00135920449787834i</v>
      </c>
      <c r="AM117" s="9" t="str">
        <f t="shared" si="25"/>
        <v>0.99990661292333-0.00894175139198256i</v>
      </c>
      <c r="AN117" s="9" t="str">
        <f t="shared" si="28"/>
        <v>-0.732832760220462+0.870036450391387i</v>
      </c>
      <c r="AO117" s="9">
        <f t="shared" si="29"/>
        <v>1.1375444076878869</v>
      </c>
      <c r="AP117" s="9">
        <f t="shared" si="30"/>
        <v>2.2708038353871416</v>
      </c>
      <c r="AQ117" s="9">
        <f t="shared" si="31"/>
        <v>130.10747586980335</v>
      </c>
      <c r="AR117" s="9">
        <f t="shared" si="32"/>
        <v>1.1193671947122805</v>
      </c>
      <c r="AS117" s="9">
        <f t="shared" si="33"/>
        <v>20.576214900305395</v>
      </c>
      <c r="AT117" s="9">
        <f t="shared" si="34"/>
        <v>65.597111509055566</v>
      </c>
    </row>
    <row r="118" spans="25:46" x14ac:dyDescent="0.25">
      <c r="Y118" s="9">
        <v>116</v>
      </c>
      <c r="Z118" s="9">
        <f t="shared" si="26"/>
        <v>1254.8885447951977</v>
      </c>
      <c r="AA118" s="9" t="str">
        <f t="shared" si="35"/>
        <v>7884.69726680516i</v>
      </c>
      <c r="AB118" s="9">
        <f>(Assumed_Efficiency/100)*Rout/'4. Current Sense Resistor'!$B$11</f>
        <v>135.14141414141415</v>
      </c>
      <c r="AD118" s="9" t="str">
        <f t="shared" si="22"/>
        <v>0.235171046379073-0.411964739275069i</v>
      </c>
      <c r="AE118" s="9" t="str">
        <f t="shared" si="27"/>
        <v>0.997561074021556-0.104825542086013i</v>
      </c>
      <c r="AF118" s="9" t="str">
        <f t="shared" si="23"/>
        <v>3.60690552316229-8.20848423884012i</v>
      </c>
      <c r="AG118" s="9">
        <f t="shared" si="18"/>
        <v>8.9659902382450376</v>
      </c>
      <c r="AH118" s="9">
        <f t="shared" si="19"/>
        <v>-1.156782283649497</v>
      </c>
      <c r="AI118" s="9">
        <f t="shared" si="20"/>
        <v>-66.278742668621433</v>
      </c>
      <c r="AJ118" s="9">
        <f t="shared" si="21"/>
        <v>19.051965233806204</v>
      </c>
      <c r="AL118" s="9" t="str">
        <f t="shared" si="24"/>
        <v>0.00116558150004935-0.00127812339025592i</v>
      </c>
      <c r="AM118" s="9" t="str">
        <f t="shared" si="25"/>
        <v>0.999894390057202-0.00950886111581894i</v>
      </c>
      <c r="AN118" s="9" t="str">
        <f t="shared" si="28"/>
        <v>-0.732687822156905+0.818939706556822i</v>
      </c>
      <c r="AO118" s="9">
        <f t="shared" si="29"/>
        <v>1.0988601765977337</v>
      </c>
      <c r="AP118" s="9">
        <f t="shared" si="30"/>
        <v>2.3006636318224327</v>
      </c>
      <c r="AQ118" s="9">
        <f t="shared" si="31"/>
        <v>131.81831618266531</v>
      </c>
      <c r="AR118" s="9">
        <f t="shared" si="32"/>
        <v>0.8188486911395374</v>
      </c>
      <c r="AS118" s="9">
        <f t="shared" si="33"/>
        <v>19.87081392494574</v>
      </c>
      <c r="AT118" s="9">
        <f t="shared" si="34"/>
        <v>65.53957351404388</v>
      </c>
    </row>
    <row r="119" spans="25:46" x14ac:dyDescent="0.25">
      <c r="Y119" s="9">
        <v>117</v>
      </c>
      <c r="Z119" s="9">
        <f t="shared" si="26"/>
        <v>1334.4959751221782</v>
      </c>
      <c r="AA119" s="9" t="str">
        <f t="shared" si="35"/>
        <v>8384.88550337796i</v>
      </c>
      <c r="AB119" s="9">
        <f>(Assumed_Efficiency/100)*Rout/'4. Current Sense Resistor'!$B$11</f>
        <v>135.14141414141415</v>
      </c>
      <c r="AD119" s="9" t="str">
        <f t="shared" si="22"/>
        <v>0.214730495702896-0.397742815788396i</v>
      </c>
      <c r="AE119" s="9" t="str">
        <f t="shared" si="27"/>
        <v>0.99724199621393-0.111467907433318i</v>
      </c>
      <c r="AF119" s="9" t="str">
        <f t="shared" si="23"/>
        <v>3.19968943543445-7.92525553518658i</v>
      </c>
      <c r="AG119" s="9">
        <f t="shared" si="18"/>
        <v>8.5467940060139718</v>
      </c>
      <c r="AH119" s="9">
        <f t="shared" si="19"/>
        <v>-1.1870757511582344</v>
      </c>
      <c r="AI119" s="9">
        <f t="shared" si="20"/>
        <v>-68.014430503688772</v>
      </c>
      <c r="AJ119" s="9">
        <f t="shared" si="21"/>
        <v>18.636064735250336</v>
      </c>
      <c r="AL119" s="9" t="str">
        <f t="shared" si="24"/>
        <v>0.00116539219288349-0.0012018790128645i</v>
      </c>
      <c r="AM119" s="9" t="str">
        <f t="shared" si="25"/>
        <v>0.999880567637675-0.0101119195565447i</v>
      </c>
      <c r="AN119" s="9" t="str">
        <f t="shared" si="28"/>
        <v>-0.732557458659859+0.770942004387477i</v>
      </c>
      <c r="AO119" s="9">
        <f t="shared" si="29"/>
        <v>1.0634810785186408</v>
      </c>
      <c r="AP119" s="9">
        <f t="shared" si="30"/>
        <v>2.3306698987948016</v>
      </c>
      <c r="AQ119" s="9">
        <f t="shared" si="31"/>
        <v>133.53754863912485</v>
      </c>
      <c r="AR119" s="9">
        <f t="shared" si="32"/>
        <v>0.53459534658884889</v>
      </c>
      <c r="AS119" s="9">
        <f t="shared" si="33"/>
        <v>19.170660081839184</v>
      </c>
      <c r="AT119" s="9">
        <f t="shared" si="34"/>
        <v>65.523118135436079</v>
      </c>
    </row>
    <row r="120" spans="25:46" x14ac:dyDescent="0.25">
      <c r="Y120" s="9">
        <v>118</v>
      </c>
      <c r="Z120" s="9">
        <f t="shared" si="26"/>
        <v>1419.1535296132129</v>
      </c>
      <c r="AA120" s="9" t="str">
        <f t="shared" si="35"/>
        <v>8916.80460589779i</v>
      </c>
      <c r="AB120" s="9">
        <f>(Assumed_Efficiency/100)*Rout/'4. Current Sense Resistor'!$B$11</f>
        <v>135.14141414141415</v>
      </c>
      <c r="AD120" s="9" t="str">
        <f t="shared" si="22"/>
        <v>0.195723681660231-0.383068798663079i</v>
      </c>
      <c r="AE120" s="9" t="str">
        <f t="shared" si="27"/>
        <v>0.996881200651229-0.118530123151758i</v>
      </c>
      <c r="AF120" s="9" t="str">
        <f t="shared" si="23"/>
        <v>2.82103461940017-7.63302636923532i</v>
      </c>
      <c r="AG120" s="9">
        <f t="shared" si="18"/>
        <v>8.1376487929435726</v>
      </c>
      <c r="AH120" s="9">
        <f t="shared" si="19"/>
        <v>-1.2167834938904061</v>
      </c>
      <c r="AI120" s="9">
        <f t="shared" si="20"/>
        <v>-69.716558781102663</v>
      </c>
      <c r="AJ120" s="9">
        <f t="shared" si="21"/>
        <v>18.209978850237256</v>
      </c>
      <c r="AL120" s="9" t="str">
        <f t="shared" si="24"/>
        <v>0.00116522479769067-0.00113018284532435i</v>
      </c>
      <c r="AM120" s="9" t="str">
        <f t="shared" si="25"/>
        <v>0.999864936400382-0.0107532016517107i</v>
      </c>
      <c r="AN120" s="9" t="str">
        <f t="shared" si="28"/>
        <v>-0.732439694665728+0.725861708034464i</v>
      </c>
      <c r="AO120" s="9">
        <f t="shared" si="29"/>
        <v>1.0311853012493604</v>
      </c>
      <c r="AP120" s="9">
        <f t="shared" si="30"/>
        <v>2.3607051777679415</v>
      </c>
      <c r="AQ120" s="9">
        <f t="shared" si="31"/>
        <v>135.25844336078379</v>
      </c>
      <c r="AR120" s="9">
        <f t="shared" si="32"/>
        <v>0.26673427713598574</v>
      </c>
      <c r="AS120" s="9">
        <f t="shared" si="33"/>
        <v>18.476713127373241</v>
      </c>
      <c r="AT120" s="9">
        <f t="shared" si="34"/>
        <v>65.541884579681124</v>
      </c>
    </row>
    <row r="121" spans="25:46" x14ac:dyDescent="0.25">
      <c r="Y121" s="9">
        <v>119</v>
      </c>
      <c r="Z121" s="9">
        <f t="shared" si="26"/>
        <v>1509.1815772837017</v>
      </c>
      <c r="AA121" s="9" t="str">
        <f t="shared" si="35"/>
        <v>9482.46751225507i</v>
      </c>
      <c r="AB121" s="9">
        <f>(Assumed_Efficiency/100)*Rout/'4. Current Sense Resistor'!$B$11</f>
        <v>135.14141414141415</v>
      </c>
      <c r="AD121" s="9" t="str">
        <f t="shared" si="22"/>
        <v>0.178133610887755-0.368095582103225i</v>
      </c>
      <c r="AE121" s="9" t="str">
        <f t="shared" si="27"/>
        <v>0.996473240283866-0.126038514658297i</v>
      </c>
      <c r="AF121" s="9" t="str">
        <f t="shared" si="23"/>
        <v>2.47060240521376-7.3348430061111i</v>
      </c>
      <c r="AG121" s="9">
        <f t="shared" ref="AG121:AG184" si="36">IMABS(AF121)</f>
        <v>7.7397543997820071</v>
      </c>
      <c r="AH121" s="9">
        <f t="shared" ref="AH121:AH184" si="37">IMARGUMENT(AF121)</f>
        <v>-1.2459011945606684</v>
      </c>
      <c r="AI121" s="9">
        <f t="shared" ref="AI121:AI184" si="38">AH121/(PI())*180</f>
        <v>-71.384880138633946</v>
      </c>
      <c r="AJ121" s="9">
        <f t="shared" ref="AJ121:AJ184" si="39">20*LOG(AG121,10)</f>
        <v>17.774543594764467</v>
      </c>
      <c r="AL121" s="9" t="str">
        <f t="shared" si="24"/>
        <v>0.0011650767782045-0.00106276357721182i</v>
      </c>
      <c r="AM121" s="9" t="str">
        <f t="shared" si="25"/>
        <v>0.999847259720936-0.0114351255275903i</v>
      </c>
      <c r="AN121" s="9" t="str">
        <f t="shared" si="28"/>
        <v>-0.732332746042326+0.683528219755098i</v>
      </c>
      <c r="AO121" s="9">
        <f t="shared" si="29"/>
        <v>1.0017594911591641</v>
      </c>
      <c r="AP121" s="9">
        <f t="shared" si="30"/>
        <v>2.3906507057799291</v>
      </c>
      <c r="AQ121" s="9">
        <f t="shared" si="31"/>
        <v>136.97419573116147</v>
      </c>
      <c r="AR121" s="9">
        <f t="shared" si="32"/>
        <v>1.5269316849427953E-2</v>
      </c>
      <c r="AS121" s="9">
        <f t="shared" si="33"/>
        <v>17.789812911613893</v>
      </c>
      <c r="AT121" s="9">
        <f t="shared" si="34"/>
        <v>65.589315592527527</v>
      </c>
    </row>
    <row r="122" spans="25:46" x14ac:dyDescent="0.25">
      <c r="Y122" s="9">
        <v>120</v>
      </c>
      <c r="Z122" s="9">
        <f t="shared" si="26"/>
        <v>1604.9208106703452</v>
      </c>
      <c r="AA122" s="9" t="str">
        <f t="shared" si="35"/>
        <v>10084.0148567907i</v>
      </c>
      <c r="AB122" s="9">
        <f>(Assumed_Efficiency/100)*Rout/'4. Current Sense Resistor'!$B$11</f>
        <v>135.14141414141415</v>
      </c>
      <c r="AD122" s="9" t="str">
        <f t="shared" si="22"/>
        <v>0.161925945021252-0.352963394685622i</v>
      </c>
      <c r="AE122" s="9" t="str">
        <f t="shared" si="27"/>
        <v>0.996011958888213-0.134021014944538i</v>
      </c>
      <c r="AF122" s="9" t="str">
        <f t="shared" si="23"/>
        <v>2.14770856552805-7.03349941346072i</v>
      </c>
      <c r="AG122" s="9">
        <f t="shared" si="36"/>
        <v>7.3540985906904224</v>
      </c>
      <c r="AH122" s="9">
        <f t="shared" si="37"/>
        <v>-1.2744346922947707</v>
      </c>
      <c r="AI122" s="9">
        <f t="shared" si="38"/>
        <v>-73.019729133544104</v>
      </c>
      <c r="AJ122" s="9">
        <f t="shared" si="39"/>
        <v>17.330588956416474</v>
      </c>
      <c r="AL122" s="9" t="str">
        <f t="shared" si="24"/>
        <v>0.00116494589172493-0.000999366081645106i</v>
      </c>
      <c r="AM122" s="9" t="str">
        <f t="shared" si="25"/>
        <v>0.999827270042614-0.0121602613543296i</v>
      </c>
      <c r="AN122" s="9" t="str">
        <f t="shared" si="28"/>
        <v>-0.73223499256681+0.64378133429809i</v>
      </c>
      <c r="AO122" s="9">
        <f t="shared" si="29"/>
        <v>0.97499871319399456</v>
      </c>
      <c r="AP122" s="9">
        <f t="shared" si="30"/>
        <v>2.4203885849819553</v>
      </c>
      <c r="AQ122" s="9">
        <f t="shared" si="31"/>
        <v>138.67805070110742</v>
      </c>
      <c r="AR122" s="9">
        <f t="shared" si="32"/>
        <v>-0.21991914968292992</v>
      </c>
      <c r="AS122" s="9">
        <f t="shared" si="33"/>
        <v>17.110669806733544</v>
      </c>
      <c r="AT122" s="9">
        <f t="shared" si="34"/>
        <v>65.65832156756332</v>
      </c>
    </row>
    <row r="123" spans="25:46" x14ac:dyDescent="0.25">
      <c r="Y123" s="9">
        <v>121</v>
      </c>
      <c r="Z123" s="9">
        <f t="shared" si="26"/>
        <v>1706.7335351116335</v>
      </c>
      <c r="AA123" s="9" t="str">
        <f t="shared" si="35"/>
        <v>10723.7230710841i</v>
      </c>
      <c r="AB123" s="9">
        <f>(Assumed_Efficiency/100)*Rout/'4. Current Sense Resistor'!$B$11</f>
        <v>135.14141414141415</v>
      </c>
      <c r="AD123" s="9" t="str">
        <f t="shared" si="22"/>
        <v>0.14705229936671-0.337798378884492i</v>
      </c>
      <c r="AE123" s="9" t="str">
        <f t="shared" si="27"/>
        <v>0.995490399305449-0.14250725395991i</v>
      </c>
      <c r="AF123" s="9" t="str">
        <f t="shared" si="23"/>
        <v>1.85138902797676-6.73150896440289i</v>
      </c>
      <c r="AG123" s="9">
        <f t="shared" si="36"/>
        <v>6.9814650518891233</v>
      </c>
      <c r="AH123" s="9">
        <f t="shared" si="37"/>
        <v>-1.3023991707326796</v>
      </c>
      <c r="AI123" s="9">
        <f t="shared" si="38"/>
        <v>-74.621975724320862</v>
      </c>
      <c r="AJ123" s="9">
        <f t="shared" si="39"/>
        <v>16.878931367038788</v>
      </c>
      <c r="AL123" s="9" t="str">
        <f t="shared" si="24"/>
        <v>0.00116483015513898-0.00093975045006203i</v>
      </c>
      <c r="AM123" s="9" t="str">
        <f t="shared" si="25"/>
        <v>0.999804664838974-0.012931340716643i</v>
      </c>
      <c r="AN123" s="9" t="str">
        <f t="shared" si="28"/>
        <v>-0.732144953389566+0.606470632540729i</v>
      </c>
      <c r="AO123" s="9">
        <f t="shared" si="29"/>
        <v>0.95070650618798314</v>
      </c>
      <c r="AP123" s="9">
        <f t="shared" si="30"/>
        <v>2.4498039061193815</v>
      </c>
      <c r="AQ123" s="9">
        <f t="shared" si="31"/>
        <v>140.36342445530391</v>
      </c>
      <c r="AR123" s="9">
        <f t="shared" si="32"/>
        <v>-0.43907067945571665</v>
      </c>
      <c r="AS123" s="9">
        <f t="shared" si="33"/>
        <v>16.439860687583071</v>
      </c>
      <c r="AT123" s="9">
        <f t="shared" si="34"/>
        <v>65.741448730983052</v>
      </c>
    </row>
    <row r="124" spans="25:46" x14ac:dyDescent="0.25">
      <c r="Y124" s="9">
        <v>122</v>
      </c>
      <c r="Z124" s="9">
        <f t="shared" si="26"/>
        <v>1815.0050398174897</v>
      </c>
      <c r="AA124" s="9" t="str">
        <f t="shared" si="35"/>
        <v>11404.0129986382i</v>
      </c>
      <c r="AB124" s="9">
        <f>(Assumed_Efficiency/100)*Rout/'4. Current Sense Resistor'!$B$11</f>
        <v>135.14141414141415</v>
      </c>
      <c r="AD124" s="9" t="str">
        <f t="shared" si="22"/>
        <v>0.133453432747909-0.322711878253134i</v>
      </c>
      <c r="AE124" s="9" t="str">
        <f t="shared" si="27"/>
        <v>0.994900699966018-0.151528651132994i</v>
      </c>
      <c r="AF124" s="9" t="str">
        <f t="shared" si="23"/>
        <v>1.58046341942984-6.4310902381284i</v>
      </c>
      <c r="AG124" s="9">
        <f t="shared" si="36"/>
        <v>6.6224456412345329</v>
      </c>
      <c r="AH124" s="9">
        <f t="shared" si="37"/>
        <v>-1.3298182745544995</v>
      </c>
      <c r="AI124" s="9">
        <f t="shared" si="38"/>
        <v>-76.192974651342183</v>
      </c>
      <c r="AJ124" s="9">
        <f t="shared" si="39"/>
        <v>16.420368043624634</v>
      </c>
      <c r="AL124" s="9" t="str">
        <f t="shared" si="24"/>
        <v>0.00116472781487446-0.00088369108454583i</v>
      </c>
      <c r="AM124" s="9" t="str">
        <f t="shared" si="25"/>
        <v>0.999779102051218-0.0137512665234246i</v>
      </c>
      <c r="AN124" s="9" t="str">
        <f t="shared" si="28"/>
        <v>-0.732061264613062+0.571454912080047i</v>
      </c>
      <c r="AO124" s="9">
        <f t="shared" si="29"/>
        <v>0.92869500466368926</v>
      </c>
      <c r="AP124" s="9">
        <f t="shared" si="30"/>
        <v>2.478786730666442</v>
      </c>
      <c r="AQ124" s="9">
        <f t="shared" si="31"/>
        <v>142.02401798021862</v>
      </c>
      <c r="AR124" s="9">
        <f t="shared" si="32"/>
        <v>-0.642537809246715</v>
      </c>
      <c r="AS124" s="9">
        <f t="shared" si="33"/>
        <v>15.77783023437792</v>
      </c>
      <c r="AT124" s="9">
        <f t="shared" si="34"/>
        <v>65.831043328876433</v>
      </c>
    </row>
    <row r="125" spans="25:46" x14ac:dyDescent="0.25">
      <c r="Y125" s="9">
        <v>123</v>
      </c>
      <c r="Z125" s="9">
        <f t="shared" si="26"/>
        <v>1930.1450559166665</v>
      </c>
      <c r="AA125" s="9" t="str">
        <f t="shared" si="35"/>
        <v>12127.4590560609i</v>
      </c>
      <c r="AB125" s="9">
        <f>(Assumed_Efficiency/100)*Rout/'4. Current Sense Resistor'!$B$11</f>
        <v>135.14141414141415</v>
      </c>
      <c r="AD125" s="9" t="str">
        <f t="shared" si="22"/>
        <v>0.121062208324198-0.307800321898636i</v>
      </c>
      <c r="AE125" s="9" t="str">
        <f t="shared" si="27"/>
        <v>0.994233978248667-0.16111851072439i</v>
      </c>
      <c r="AF125" s="9" t="str">
        <f t="shared" si="23"/>
        <v>1.33359404728589-6.13416471951588i</v>
      </c>
      <c r="AG125" s="9">
        <f t="shared" si="36"/>
        <v>6.2774556859534814</v>
      </c>
      <c r="AH125" s="9">
        <f t="shared" si="37"/>
        <v>-1.3567231935309043</v>
      </c>
      <c r="AI125" s="9">
        <f t="shared" si="38"/>
        <v>-77.734512956831608</v>
      </c>
      <c r="AJ125" s="9">
        <f t="shared" si="39"/>
        <v>15.955673112163389</v>
      </c>
      <c r="AL125" s="9" t="str">
        <f t="shared" si="24"/>
        <v>0.00116463732033124-0.00083097584427121i</v>
      </c>
      <c r="AM125" s="9" t="str">
        <f t="shared" si="25"/>
        <v>0.999750194932456-0.0146231234792494i</v>
      </c>
      <c r="AN125" s="9" t="str">
        <f t="shared" si="28"/>
        <v>-0.731982658646786+0.538601652617114i</v>
      </c>
      <c r="AO125" s="9">
        <f t="shared" si="29"/>
        <v>0.90878509712775535</v>
      </c>
      <c r="AP125" s="9">
        <f t="shared" si="30"/>
        <v>2.5072338479200691</v>
      </c>
      <c r="AQ125" s="9">
        <f t="shared" si="31"/>
        <v>143.65391773816526</v>
      </c>
      <c r="AR125" s="9">
        <f t="shared" si="32"/>
        <v>-0.83077606858207997</v>
      </c>
      <c r="AS125" s="9">
        <f t="shared" si="33"/>
        <v>15.124897043581308</v>
      </c>
      <c r="AT125" s="9">
        <f t="shared" si="34"/>
        <v>65.919404781333654</v>
      </c>
    </row>
    <row r="126" spans="25:46" x14ac:dyDescent="0.25">
      <c r="Y126" s="9">
        <v>124</v>
      </c>
      <c r="Z126" s="9">
        <f t="shared" si="26"/>
        <v>2052.58930699948</v>
      </c>
      <c r="AA126" s="9" t="str">
        <f t="shared" si="35"/>
        <v>12896.7989754131i</v>
      </c>
      <c r="AB126" s="9">
        <f>(Assumed_Efficiency/100)*Rout/'4. Current Sense Resistor'!$B$11</f>
        <v>135.14141414141415</v>
      </c>
      <c r="AD126" s="9" t="str">
        <f t="shared" si="22"/>
        <v>0.109806245953457-0.293145587070265i</v>
      </c>
      <c r="AE126" s="9" t="str">
        <f t="shared" si="27"/>
        <v>0.993480199055733-0.171312119585268i</v>
      </c>
      <c r="AF126" s="9" t="str">
        <f t="shared" si="23"/>
        <v>1.10933873548948-5.84236402350468i</v>
      </c>
      <c r="AG126" s="9">
        <f t="shared" si="36"/>
        <v>5.9467511981921017</v>
      </c>
      <c r="AH126" s="9">
        <f t="shared" si="37"/>
        <v>-1.3831517456756106</v>
      </c>
      <c r="AI126" s="9">
        <f t="shared" si="38"/>
        <v>-79.248757453364703</v>
      </c>
      <c r="AJ126" s="9">
        <f t="shared" si="39"/>
        <v>15.48559537495408</v>
      </c>
      <c r="AL126" s="9" t="str">
        <f t="shared" si="24"/>
        <v>0.0011645573003879-0.000781405242846572i</v>
      </c>
      <c r="AM126" s="9" t="str">
        <f t="shared" si="25"/>
        <v>0.999717506222405-0.0155501891399382i</v>
      </c>
      <c r="AN126" s="9" t="str">
        <f t="shared" si="28"/>
        <v>-0.731907945026905+0.507786514102386i</v>
      </c>
      <c r="AO126" s="9">
        <f t="shared" si="29"/>
        <v>0.89080659174579513</v>
      </c>
      <c r="AP126" s="9">
        <f t="shared" si="30"/>
        <v>2.535050241227462</v>
      </c>
      <c r="AQ126" s="9">
        <f t="shared" si="31"/>
        <v>145.24767967595483</v>
      </c>
      <c r="AR126" s="9">
        <f t="shared" si="32"/>
        <v>-1.0043315591130855</v>
      </c>
      <c r="AS126" s="9">
        <f t="shared" si="33"/>
        <v>14.481263815840995</v>
      </c>
      <c r="AT126" s="9">
        <f t="shared" si="34"/>
        <v>65.998922222590124</v>
      </c>
    </row>
    <row r="127" spans="25:46" x14ac:dyDescent="0.25">
      <c r="Y127" s="9">
        <v>125</v>
      </c>
      <c r="Z127" s="9">
        <f t="shared" si="26"/>
        <v>2182.8011580236971</v>
      </c>
      <c r="AA127" s="9" t="str">
        <f t="shared" si="35"/>
        <v>13714.9441645891i</v>
      </c>
      <c r="AB127" s="9">
        <f>(Assumed_Efficiency/100)*Rout/'4. Current Sense Resistor'!$B$11</f>
        <v>135.14141414141415</v>
      </c>
      <c r="AD127" s="9" t="str">
        <f t="shared" si="22"/>
        <v>0.099610222562485-0.278815722588531i</v>
      </c>
      <c r="AE127" s="9" t="str">
        <f t="shared" si="27"/>
        <v>0.992628026803545-0.182146846749618i</v>
      </c>
      <c r="AF127" s="9" t="str">
        <f t="shared" si="23"/>
        <v>0.906196647887717-5.55704430794061i</v>
      </c>
      <c r="AG127" s="9">
        <f t="shared" si="36"/>
        <v>5.6304470342112323</v>
      </c>
      <c r="AH127" s="9">
        <f t="shared" si="37"/>
        <v>-1.4091474833138253</v>
      </c>
      <c r="AI127" s="9">
        <f t="shared" si="38"/>
        <v>-80.738203505363785</v>
      </c>
      <c r="AJ127" s="9">
        <f t="shared" si="39"/>
        <v>15.01085754812398</v>
      </c>
      <c r="AL127" s="9" t="str">
        <f t="shared" si="24"/>
        <v>0.00116448654262751-0.000734791693519787i</v>
      </c>
      <c r="AM127" s="9" t="str">
        <f t="shared" si="25"/>
        <v>0.999680541566322-0.0165359455730547i</v>
      </c>
      <c r="AN127" s="9" t="str">
        <f t="shared" si="28"/>
        <v>-0.731835992411357+0.478892865730705i</v>
      </c>
      <c r="AO127" s="9">
        <f t="shared" si="29"/>
        <v>0.87459836304242122</v>
      </c>
      <c r="AP127" s="9">
        <f t="shared" si="30"/>
        <v>2.5621502194377861</v>
      </c>
      <c r="AQ127" s="9">
        <f t="shared" si="31"/>
        <v>146.80039405230286</v>
      </c>
      <c r="AR127" s="9">
        <f t="shared" si="32"/>
        <v>-1.1638267969078204</v>
      </c>
      <c r="AS127" s="9">
        <f t="shared" si="33"/>
        <v>13.84703075121616</v>
      </c>
      <c r="AT127" s="9">
        <f t="shared" si="34"/>
        <v>66.062190546939078</v>
      </c>
    </row>
    <row r="128" spans="25:46" x14ac:dyDescent="0.25">
      <c r="Y128" s="9">
        <v>126</v>
      </c>
      <c r="Z128" s="9">
        <f t="shared" si="26"/>
        <v>2321.2733688234066</v>
      </c>
      <c r="AA128" s="9" t="str">
        <f t="shared" si="35"/>
        <v>14584.9907249385i</v>
      </c>
      <c r="AB128" s="9">
        <f>(Assumed_Efficiency/100)*Rout/'4. Current Sense Resistor'!$B$11</f>
        <v>135.14141414141415</v>
      </c>
      <c r="AD128" s="9" t="str">
        <f t="shared" si="22"/>
        <v>0.0903978063147596-0.264865925245549i</v>
      </c>
      <c r="AE128" s="9" t="str">
        <f t="shared" si="27"/>
        <v>0.991664658827859-0.19366224411001i</v>
      </c>
      <c r="AF128" s="9" t="str">
        <f t="shared" si="23"/>
        <v>0.722646815790101-5.27930572594071i</v>
      </c>
      <c r="AG128" s="9">
        <f t="shared" si="36"/>
        <v>5.3285351991257359</v>
      </c>
      <c r="AH128" s="9">
        <f t="shared" si="37"/>
        <v>-1.4347588384448957</v>
      </c>
      <c r="AI128" s="9">
        <f t="shared" si="38"/>
        <v>-82.205626061984844</v>
      </c>
      <c r="AJ128" s="9">
        <f t="shared" si="39"/>
        <v>14.532156779527835</v>
      </c>
      <c r="AL128" s="9" t="str">
        <f t="shared" si="24"/>
        <v>0.001164423974968-0.000690958799395387i</v>
      </c>
      <c r="AM128" s="9" t="str">
        <f t="shared" si="25"/>
        <v>0.999638742081168-0.0175840916422782i</v>
      </c>
      <c r="AN128" s="9" t="str">
        <f t="shared" si="28"/>
        <v>-0.731765711479696+0.45181134398784i</v>
      </c>
      <c r="AO128" s="9">
        <f t="shared" si="29"/>
        <v>0.86000845754764765</v>
      </c>
      <c r="AP128" s="9">
        <f t="shared" si="30"/>
        <v>2.5884581930796453</v>
      </c>
      <c r="AQ128" s="9">
        <f t="shared" si="31"/>
        <v>148.30772990952283</v>
      </c>
      <c r="AR128" s="9">
        <f t="shared" si="32"/>
        <v>-1.3099455554027661</v>
      </c>
      <c r="AS128" s="9">
        <f t="shared" si="33"/>
        <v>13.222211224125068</v>
      </c>
      <c r="AT128" s="9">
        <f t="shared" si="34"/>
        <v>66.10210384753799</v>
      </c>
    </row>
    <row r="129" spans="25:46" x14ac:dyDescent="0.25">
      <c r="Y129" s="9">
        <v>127</v>
      </c>
      <c r="Z129" s="9">
        <f t="shared" si="26"/>
        <v>2468.5299588567814</v>
      </c>
      <c r="AA129" s="9" t="str">
        <f t="shared" si="35"/>
        <v>15510.2311678216i</v>
      </c>
      <c r="AB129" s="9">
        <f>(Assumed_Efficiency/100)*Rout/'4. Current Sense Resistor'!$B$11</f>
        <v>135.14141414141415</v>
      </c>
      <c r="AD129" s="9" t="str">
        <f t="shared" si="22"/>
        <v>0.0820932326473606-0.251339675238527i</v>
      </c>
      <c r="AE129" s="9" t="str">
        <f t="shared" si="27"/>
        <v>0.990575637989414-0.205900147210141i</v>
      </c>
      <c r="AF129" s="9" t="str">
        <f t="shared" si="23"/>
        <v>0.55717953047945-5.01001504634904i</v>
      </c>
      <c r="AG129" s="9">
        <f t="shared" si="36"/>
        <v>5.040902676488515</v>
      </c>
      <c r="AH129" s="9">
        <f t="shared" si="37"/>
        <v>-1.4600383170432782</v>
      </c>
      <c r="AI129" s="9">
        <f t="shared" si="38"/>
        <v>-83.654033493963453</v>
      </c>
      <c r="AJ129" s="9">
        <f t="shared" si="39"/>
        <v>14.050166253972236</v>
      </c>
      <c r="AL129" s="9" t="str">
        <f t="shared" si="24"/>
        <v>0.00116436864941877-0.000649740685980507i</v>
      </c>
      <c r="AM129" s="9" t="str">
        <f t="shared" si="25"/>
        <v>0.999591475959759-0.0186985559318929i</v>
      </c>
      <c r="AN129" s="9" t="str">
        <f t="shared" si="28"/>
        <v>-0.731696038481063+0.426439438056123i</v>
      </c>
      <c r="AO129" s="9">
        <f t="shared" si="29"/>
        <v>0.84689414158943332</v>
      </c>
      <c r="AP129" s="9">
        <f t="shared" si="30"/>
        <v>2.6139090972120078</v>
      </c>
      <c r="AQ129" s="9">
        <f t="shared" si="31"/>
        <v>149.76595930109926</v>
      </c>
      <c r="AR129" s="9">
        <f t="shared" si="32"/>
        <v>-1.4434174273107505</v>
      </c>
      <c r="AS129" s="9">
        <f t="shared" si="33"/>
        <v>12.606748826661486</v>
      </c>
      <c r="AT129" s="9">
        <f t="shared" si="34"/>
        <v>66.111925807135805</v>
      </c>
    </row>
    <row r="130" spans="25:46" x14ac:dyDescent="0.25">
      <c r="Y130" s="9">
        <v>128</v>
      </c>
      <c r="Z130" s="9">
        <f t="shared" si="26"/>
        <v>2625.1281902493761</v>
      </c>
      <c r="AA130" s="9" t="str">
        <f t="shared" si="35"/>
        <v>16494.1668744378i</v>
      </c>
      <c r="AB130" s="9">
        <f>(Assumed_Efficiency/100)*Rout/'4. Current Sense Resistor'!$B$11</f>
        <v>135.14141414141415</v>
      </c>
      <c r="AD130" s="9" t="str">
        <f t="shared" ref="AD130:AD193" si="40">IMDIV(IMSUM(1,IMDIV(AA130,$W$4)),IMSUM(1,IMDIV(AA130,$W$6)))</f>
        <v>0.0746225458344462-0.238269952699721i</v>
      </c>
      <c r="AE130" s="9" t="str">
        <f t="shared" si="27"/>
        <v>0.989344642034447-0.218904774925232i</v>
      </c>
      <c r="AF130" s="9" t="str">
        <f t="shared" ref="AF130:AF193" si="41">IF(D_&lt;Dmax,IMPRODUCT(AB130,AC$2,AD130,AE130),0)</f>
        <v>0.408321071906742-4.7498298896237i</v>
      </c>
      <c r="AG130" s="9">
        <f t="shared" si="36"/>
        <v>4.7673483277526261</v>
      </c>
      <c r="AH130" s="9">
        <f t="shared" si="37"/>
        <v>-1.4850417461163001</v>
      </c>
      <c r="AI130" s="9">
        <f t="shared" si="38"/>
        <v>-85.086624453202305</v>
      </c>
      <c r="AJ130" s="9">
        <f t="shared" si="39"/>
        <v>13.565537698889827</v>
      </c>
      <c r="AL130" s="9" t="str">
        <f t="shared" ref="AL130:AL193" si="42">IMDIV(IMSUM(1,IMDIV(AA130,wz1e)),IMSUM(1,IMDIV(AA130,wp1e)))</f>
        <v>0.00116431972771739-0.000610981373536611i</v>
      </c>
      <c r="AM130" s="9" t="str">
        <f t="shared" ref="AM130:AM193" si="43">IMDIV(IMSUM(1,IMDIV(AA130,wz2e)),IMSUM(1,IMDIV(AA130,wp2e)))</f>
        <v>0.999538028990071-0.0198835103239867i</v>
      </c>
      <c r="AN130" s="9" t="str">
        <f t="shared" si="28"/>
        <v>-0.731625919184171+0.402681100985526i</v>
      </c>
      <c r="AO130" s="9">
        <f t="shared" si="29"/>
        <v>0.83512188015462663</v>
      </c>
      <c r="AP130" s="9">
        <f t="shared" si="30"/>
        <v>2.6384484823559311</v>
      </c>
      <c r="AQ130" s="9">
        <f t="shared" si="31"/>
        <v>151.17196250169212</v>
      </c>
      <c r="AR130" s="9">
        <f t="shared" si="32"/>
        <v>-1.5650027534201123</v>
      </c>
      <c r="AS130" s="9">
        <f t="shared" si="33"/>
        <v>12.000534945469715</v>
      </c>
      <c r="AT130" s="9">
        <f t="shared" si="34"/>
        <v>66.085338048489817</v>
      </c>
    </row>
    <row r="131" spans="25:46" x14ac:dyDescent="0.25">
      <c r="Y131" s="9">
        <v>129</v>
      </c>
      <c r="Z131" s="9">
        <f t="shared" ref="Z131:Z194" si="44">10^(LOG($F$3/$F$2,10)*Y131/200)</f>
        <v>2791.6606766374607</v>
      </c>
      <c r="AA131" s="9" t="str">
        <f t="shared" si="35"/>
        <v>17540.5213460795i</v>
      </c>
      <c r="AB131" s="9">
        <f>(Assumed_Efficiency/100)*Rout/'4. Current Sense Resistor'!$B$11</f>
        <v>135.14141414141415</v>
      </c>
      <c r="AD131" s="9" t="str">
        <f t="shared" si="40"/>
        <v>0.0679145394819514-0.225680473610454i</v>
      </c>
      <c r="AE131" s="9" t="str">
        <f t="shared" ref="AE131:AE194" si="45">IMDIV(IMSUM(1,IMDIV(IMPRODUCT(-1,AA131),$W$5)),IMSUM(1,IMDIV(AA131,$W$2*$W$3),IMDIV(IMPOWER(AA131,2),$W$2^2)))</f>
        <v>0.987953247020839-0.232722826485124i</v>
      </c>
      <c r="AF131" s="9" t="str">
        <f t="shared" si="41"/>
        <v>0.274652438977234-4.49922334969988i</v>
      </c>
      <c r="AG131" s="9">
        <f t="shared" si="36"/>
        <v>4.507598552746324</v>
      </c>
      <c r="AH131" s="9">
        <f t="shared" si="37"/>
        <v>-1.5098275724970931</v>
      </c>
      <c r="AI131" s="9">
        <f t="shared" si="38"/>
        <v>-86.506747696565768</v>
      </c>
      <c r="AJ131" s="9">
        <f t="shared" si="39"/>
        <v>13.078904615580454</v>
      </c>
      <c r="AL131" s="9" t="str">
        <f t="shared" si="42"/>
        <v>0.00116427646862875-0.000574534186864163i</v>
      </c>
      <c r="AM131" s="9" t="str">
        <f t="shared" si="43"/>
        <v>0.99947759385163-0.0211433842361458i</v>
      </c>
      <c r="AN131" s="9" t="str">
        <f t="shared" ref="AN131:AN194" si="46">IMPRODUCT($AK$2,AL131,AM131)</f>
        <v>-0.731554292990202+0.380446385128401i</v>
      </c>
      <c r="AO131" s="9">
        <f t="shared" ref="AO131:AO194" si="47">IMABS(AN131)</f>
        <v>0.82456724137553628</v>
      </c>
      <c r="AP131" s="9">
        <f t="shared" ref="AP131:AP194" si="48">IMARGUMENT(AN131)</f>
        <v>2.6620323100249657</v>
      </c>
      <c r="AQ131" s="9">
        <f t="shared" ref="AQ131:AQ194" si="49">AP131/(PI())*180</f>
        <v>152.52321629189166</v>
      </c>
      <c r="AR131" s="9">
        <f t="shared" ref="AR131:AR194" si="50">20*LOG(AO131,10)</f>
        <v>-1.6754784591491951</v>
      </c>
      <c r="AS131" s="9">
        <f t="shared" ref="AS131:AS194" si="51">AR131+AJ131</f>
        <v>11.403426156431259</v>
      </c>
      <c r="AT131" s="9">
        <f t="shared" ref="AT131:AT194" si="52">AQ131+AI131</f>
        <v>66.01646859532589</v>
      </c>
    </row>
    <row r="132" spans="25:46" x14ac:dyDescent="0.25">
      <c r="Y132" s="9">
        <v>130</v>
      </c>
      <c r="Z132" s="9">
        <f t="shared" si="44"/>
        <v>2968.757625791824</v>
      </c>
      <c r="AA132" s="9" t="str">
        <f t="shared" ref="AA132:AA195" si="53">IMPRODUCT(COMPLEX(0,1),2*PI()*Z132)</f>
        <v>18653.2542949525i</v>
      </c>
      <c r="AB132" s="9">
        <f>(Assumed_Efficiency/100)*Rout/'4. Current Sense Resistor'!$B$11</f>
        <v>135.14141414141415</v>
      </c>
      <c r="AD132" s="9" t="str">
        <f t="shared" si="40"/>
        <v>0.0619014343621333-0.213586898578993i</v>
      </c>
      <c r="AE132" s="9" t="str">
        <f t="shared" si="45"/>
        <v>0.986380661864939-0.247403573914456i</v>
      </c>
      <c r="AF132" s="9" t="str">
        <f t="shared" si="41"/>
        <v>0.154822846516267-4.25850807501634i</v>
      </c>
      <c r="AG132" s="9">
        <f t="shared" si="36"/>
        <v>4.2613215249242549</v>
      </c>
      <c r="AH132" s="9">
        <f t="shared" si="37"/>
        <v>-1.5344562084822284</v>
      </c>
      <c r="AI132" s="9">
        <f t="shared" si="38"/>
        <v>-87.917864593678047</v>
      </c>
      <c r="AJ132" s="9">
        <f t="shared" si="39"/>
        <v>12.590886075852969</v>
      </c>
      <c r="AL132" s="9" t="str">
        <f t="shared" si="42"/>
        <v>0.00116423821671442-0.00054026120028869i</v>
      </c>
      <c r="AM132" s="9" t="str">
        <f t="shared" si="43"/>
        <v>0.999409258033946-0.0224828795211983i</v>
      </c>
      <c r="AN132" s="9" t="str">
        <f t="shared" si="46"/>
        <v>-0.73148007697322+0.359651100421322i</v>
      </c>
      <c r="AO132" s="9">
        <f t="shared" si="47"/>
        <v>0.81511472630729465</v>
      </c>
      <c r="AP132" s="9">
        <f t="shared" si="48"/>
        <v>2.6846264994996756</v>
      </c>
      <c r="AQ132" s="9">
        <f t="shared" si="49"/>
        <v>153.81776799031141</v>
      </c>
      <c r="AR132" s="9">
        <f t="shared" si="50"/>
        <v>-1.7756252118109832</v>
      </c>
      <c r="AS132" s="9">
        <f t="shared" si="51"/>
        <v>10.815260864041987</v>
      </c>
      <c r="AT132" s="9">
        <f t="shared" si="52"/>
        <v>65.899903396633363</v>
      </c>
    </row>
    <row r="133" spans="25:46" x14ac:dyDescent="0.25">
      <c r="Y133" s="9">
        <v>131</v>
      </c>
      <c r="Z133" s="9">
        <f t="shared" si="44"/>
        <v>3157.0892245088098</v>
      </c>
      <c r="AA133" s="9" t="str">
        <f t="shared" si="53"/>
        <v>19836.5766288887i</v>
      </c>
      <c r="AB133" s="9">
        <f>(Assumed_Efficiency/100)*Rout/'4. Current Sense Resistor'!$B$11</f>
        <v>135.14141414141415</v>
      </c>
      <c r="AD133" s="9" t="str">
        <f t="shared" si="40"/>
        <v>0.0565193333917489-0.201997981377779i</v>
      </c>
      <c r="AE133" s="9" t="str">
        <f t="shared" si="45"/>
        <v>0.984603430800941-0.262998947508543i</v>
      </c>
      <c r="AF133" s="9" t="str">
        <f t="shared" si="41"/>
        <v>0.0475587817903427-4.02785914914249i</v>
      </c>
      <c r="AG133" s="9">
        <f t="shared" si="36"/>
        <v>4.028139913540274</v>
      </c>
      <c r="AH133" s="9">
        <f t="shared" si="37"/>
        <v>-1.5589894164583666</v>
      </c>
      <c r="AI133" s="9">
        <f t="shared" si="38"/>
        <v>-89.323513868627458</v>
      </c>
      <c r="AJ133" s="9">
        <f t="shared" si="39"/>
        <v>12.102090938839098</v>
      </c>
      <c r="AL133" s="9" t="str">
        <f t="shared" si="42"/>
        <v>0.00116420439240186-0.000508032715749503i</v>
      </c>
      <c r="AM133" s="9" t="str">
        <f t="shared" si="43"/>
        <v>0.999331990203028-0.0239069860226148i</v>
      </c>
      <c r="AN133" s="9" t="str">
        <f t="shared" si="46"/>
        <v>-0.73140214961283+0.340216494176002i</v>
      </c>
      <c r="AO133" s="9">
        <f t="shared" si="47"/>
        <v>0.80665752793095413</v>
      </c>
      <c r="AP133" s="9">
        <f t="shared" si="48"/>
        <v>2.7062062776712477</v>
      </c>
      <c r="AQ133" s="9">
        <f t="shared" si="49"/>
        <v>155.05419820237103</v>
      </c>
      <c r="AR133" s="9">
        <f t="shared" si="50"/>
        <v>-1.8662161778831412</v>
      </c>
      <c r="AS133" s="9">
        <f t="shared" si="51"/>
        <v>10.235874760955957</v>
      </c>
      <c r="AT133" s="9">
        <f t="shared" si="52"/>
        <v>65.730684333743568</v>
      </c>
    </row>
    <row r="134" spans="25:46" x14ac:dyDescent="0.25">
      <c r="Y134" s="9">
        <v>132</v>
      </c>
      <c r="Z134" s="9">
        <f t="shared" si="44"/>
        <v>3357.3681747937244</v>
      </c>
      <c r="AA134" s="9" t="str">
        <f t="shared" si="53"/>
        <v>21094.9663866563i</v>
      </c>
      <c r="AB134" s="9">
        <f>(Assumed_Efficiency/100)*Rout/'4. Current Sense Resistor'!$B$11</f>
        <v>135.14141414141415</v>
      </c>
      <c r="AD134" s="9" t="str">
        <f t="shared" si="40"/>
        <v>0.0517084923914443-0.19091663543024i</v>
      </c>
      <c r="AE134" s="9" t="str">
        <f t="shared" si="45"/>
        <v>0.982595100279785-0.279563611418951i</v>
      </c>
      <c r="AF134" s="9" t="str">
        <f t="shared" si="41"/>
        <v>-0.0483306097799073-3.80733533643808i</v>
      </c>
      <c r="AG134" s="9">
        <f t="shared" si="36"/>
        <v>3.8076420803342015</v>
      </c>
      <c r="AH134" s="9">
        <f t="shared" si="37"/>
        <v>-1.5834897225083195</v>
      </c>
      <c r="AI134" s="9">
        <f t="shared" si="38"/>
        <v>-90.727278002068587</v>
      </c>
      <c r="AJ134" s="9">
        <f t="shared" si="39"/>
        <v>11.613122356005992</v>
      </c>
      <c r="AL134" s="9" t="str">
        <f t="shared" si="42"/>
        <v>0.00116417448320304-0.000477726772017386i</v>
      </c>
      <c r="AM134" s="9" t="str">
        <f t="shared" si="43"/>
        <v>0.999244624821047-0.0254209977691272i</v>
      </c>
      <c r="AN134" s="9" t="str">
        <f t="shared" si="46"/>
        <v>-0.73131933398109+0.322068951113418i</v>
      </c>
      <c r="AO134" s="9">
        <f t="shared" si="47"/>
        <v>0.79909722657874493</v>
      </c>
      <c r="AP134" s="9">
        <f t="shared" si="48"/>
        <v>2.726755384563285</v>
      </c>
      <c r="AQ134" s="9">
        <f t="shared" si="49"/>
        <v>156.23157530004798</v>
      </c>
      <c r="AR134" s="9">
        <f t="shared" si="50"/>
        <v>-1.9480075326745609</v>
      </c>
      <c r="AS134" s="9">
        <f t="shared" si="51"/>
        <v>9.6651148233314306</v>
      </c>
      <c r="AT134" s="9">
        <f t="shared" si="52"/>
        <v>65.504297297979392</v>
      </c>
    </row>
    <row r="135" spans="25:46" x14ac:dyDescent="0.25">
      <c r="Y135" s="9">
        <v>133</v>
      </c>
      <c r="Z135" s="9">
        <f t="shared" si="44"/>
        <v>3570.3523909342362</v>
      </c>
      <c r="AA135" s="9" t="str">
        <f t="shared" si="53"/>
        <v>22433.1856841715i</v>
      </c>
      <c r="AB135" s="9">
        <f>(Assumed_Efficiency/100)*Rout/'4. Current Sense Resistor'!$B$11</f>
        <v>135.14141414141415</v>
      </c>
      <c r="AD135" s="9" t="str">
        <f t="shared" si="40"/>
        <v>0.0474134424283277-0.180340905552979i</v>
      </c>
      <c r="AE135" s="9" t="str">
        <f t="shared" si="45"/>
        <v>0.980325846576232-0.297155025774532i</v>
      </c>
      <c r="AF135" s="9" t="str">
        <f t="shared" si="41"/>
        <v>-0.13395109657419-3.59689843975672i</v>
      </c>
      <c r="AG135" s="9">
        <f t="shared" si="36"/>
        <v>3.5993917933725625</v>
      </c>
      <c r="AH135" s="9">
        <f t="shared" si="37"/>
        <v>-1.6080198475528171</v>
      </c>
      <c r="AI135" s="9">
        <f t="shared" si="38"/>
        <v>-92.13275063804646</v>
      </c>
      <c r="AJ135" s="9">
        <f t="shared" si="39"/>
        <v>11.12458244258203</v>
      </c>
      <c r="AL135" s="9" t="str">
        <f t="shared" si="42"/>
        <v>0.00116414803594957-0.000449228683185175i</v>
      </c>
      <c r="AM135" s="9" t="str">
        <f t="shared" si="43"/>
        <v>0.999145844800967-0.0270305297795588i</v>
      </c>
      <c r="AN135" s="9" t="str">
        <f t="shared" si="46"/>
        <v>-0.731230380139903+0.305139712440766i</v>
      </c>
      <c r="AO135" s="9">
        <f t="shared" si="47"/>
        <v>0.79234343118876205</v>
      </c>
      <c r="AP135" s="9">
        <f t="shared" si="48"/>
        <v>2.7462651844081227</v>
      </c>
      <c r="AQ135" s="9">
        <f t="shared" si="49"/>
        <v>157.34940449030216</v>
      </c>
      <c r="AR135" s="9">
        <f t="shared" si="50"/>
        <v>-2.0217307636172679</v>
      </c>
      <c r="AS135" s="9">
        <f t="shared" si="51"/>
        <v>9.1028516789647611</v>
      </c>
      <c r="AT135" s="9">
        <f t="shared" si="52"/>
        <v>65.216653852255703</v>
      </c>
    </row>
    <row r="136" spans="25:46" x14ac:dyDescent="0.25">
      <c r="Y136" s="9">
        <v>134</v>
      </c>
      <c r="Z136" s="9">
        <f t="shared" si="44"/>
        <v>3796.8478676703417</v>
      </c>
      <c r="AA136" s="9" t="str">
        <f t="shared" si="53"/>
        <v>23856.2987357424i</v>
      </c>
      <c r="AB136" s="9">
        <f>(Assumed_Efficiency/100)*Rout/'4. Current Sense Resistor'!$B$11</f>
        <v>135.14141414141415</v>
      </c>
      <c r="AD136" s="9" t="str">
        <f t="shared" si="40"/>
        <v>0.0435829957508521-0.170264839323995i</v>
      </c>
      <c r="AE136" s="9" t="str">
        <f t="shared" si="45"/>
        <v>0.977762060132577-0.315833490994923i</v>
      </c>
      <c r="AF136" s="9" t="str">
        <f t="shared" si="41"/>
        <v>-0.210323252818988-3.39643065792806i</v>
      </c>
      <c r="AG136" s="9">
        <f t="shared" si="36"/>
        <v>3.4029365384605681</v>
      </c>
      <c r="AH136" s="9">
        <f t="shared" si="37"/>
        <v>-1.6326421437948857</v>
      </c>
      <c r="AI136" s="9">
        <f t="shared" si="38"/>
        <v>-93.543504294637813</v>
      </c>
      <c r="AJ136" s="9">
        <f t="shared" si="39"/>
        <v>10.637076999821684</v>
      </c>
      <c r="AL136" s="9" t="str">
        <f t="shared" si="42"/>
        <v>0.00116412464992658-0.00042243060468557i</v>
      </c>
      <c r="AM136" s="9" t="str">
        <f t="shared" si="43"/>
        <v>0.999034161952285-0.0287415354332358i</v>
      </c>
      <c r="AN136" s="9" t="str">
        <f t="shared" si="46"/>
        <v>-0.731133946495955+0.289364612829637i</v>
      </c>
      <c r="AO136" s="9">
        <f t="shared" si="47"/>
        <v>0.78631337701758308</v>
      </c>
      <c r="AP136" s="9">
        <f t="shared" si="48"/>
        <v>2.7647337269194447</v>
      </c>
      <c r="AQ136" s="9">
        <f t="shared" si="49"/>
        <v>158.40757402995885</v>
      </c>
      <c r="AR136" s="9">
        <f t="shared" si="50"/>
        <v>-2.0880867182529363</v>
      </c>
      <c r="AS136" s="9">
        <f t="shared" si="51"/>
        <v>8.5489902815687469</v>
      </c>
      <c r="AT136" s="9">
        <f t="shared" si="52"/>
        <v>64.864069735321038</v>
      </c>
    </row>
    <row r="137" spans="25:46" x14ac:dyDescent="0.25">
      <c r="Y137" s="9">
        <v>135</v>
      </c>
      <c r="Z137" s="9">
        <f t="shared" si="44"/>
        <v>4037.7117303148448</v>
      </c>
      <c r="AA137" s="9" t="str">
        <f t="shared" si="53"/>
        <v>25369.6910185409i</v>
      </c>
      <c r="AB137" s="9">
        <f>(Assumed_Efficiency/100)*Rout/'4. Current Sense Resistor'!$B$11</f>
        <v>135.14141414141415</v>
      </c>
      <c r="AD137" s="9" t="str">
        <f t="shared" si="40"/>
        <v>0.0401701631109368-0.160679257696568i</v>
      </c>
      <c r="AE137" s="9" t="str">
        <f t="shared" si="45"/>
        <v>0.974865882460808-0.335662169045093i</v>
      </c>
      <c r="AF137" s="9" t="str">
        <f t="shared" si="41"/>
        <v>-0.278384117108531-3.20574993529708i</v>
      </c>
      <c r="AG137" s="9">
        <f t="shared" si="36"/>
        <v>3.2178145323053551</v>
      </c>
      <c r="AH137" s="9">
        <f t="shared" si="37"/>
        <v>-1.6574180240420648</v>
      </c>
      <c r="AI137" s="9">
        <f t="shared" si="38"/>
        <v>-94.963057666522715</v>
      </c>
      <c r="AJ137" s="9">
        <f t="shared" si="39"/>
        <v>10.151220174268271</v>
      </c>
      <c r="AL137" s="9" t="str">
        <f t="shared" si="42"/>
        <v>0.00116410397080128-0.000397231125194772i</v>
      </c>
      <c r="AM137" s="9" t="str">
        <f t="shared" si="43"/>
        <v>0.998907894945793-0.0305603243420578i</v>
      </c>
      <c r="AN137" s="9" t="str">
        <f t="shared" si="46"/>
        <v>-0.731028579848322+0.274683834205935i</v>
      </c>
      <c r="AO137" s="9">
        <f t="shared" si="47"/>
        <v>0.78093149080385282</v>
      </c>
      <c r="AP137" s="9">
        <f t="shared" si="48"/>
        <v>2.7821647966636385</v>
      </c>
      <c r="AQ137" s="9">
        <f t="shared" si="49"/>
        <v>159.40630075869933</v>
      </c>
      <c r="AR137" s="9">
        <f t="shared" si="50"/>
        <v>-2.1477412807355338</v>
      </c>
      <c r="AS137" s="9">
        <f t="shared" si="51"/>
        <v>8.003478893532737</v>
      </c>
      <c r="AT137" s="9">
        <f t="shared" si="52"/>
        <v>64.443243092176616</v>
      </c>
    </row>
    <row r="138" spans="25:46" x14ac:dyDescent="0.25">
      <c r="Y138" s="9">
        <v>136</v>
      </c>
      <c r="Z138" s="9">
        <f t="shared" si="44"/>
        <v>4293.8554783669315</v>
      </c>
      <c r="AA138" s="9" t="str">
        <f t="shared" si="53"/>
        <v>26979.0896528277i</v>
      </c>
      <c r="AB138" s="9">
        <f>(Assumed_Efficiency/100)*Rout/'4. Current Sense Resistor'!$B$11</f>
        <v>135.14141414141415</v>
      </c>
      <c r="AD138" s="9" t="str">
        <f t="shared" si="40"/>
        <v>0.0371320060122564-0.15157242819288i</v>
      </c>
      <c r="AE138" s="9" t="str">
        <f t="shared" si="45"/>
        <v>0.971594691272992-0.356707075311344i</v>
      </c>
      <c r="AF138" s="9" t="str">
        <f t="shared" si="41"/>
        <v>-0.33899014857258-3.0246233695691i</v>
      </c>
      <c r="AG138" s="9">
        <f t="shared" si="36"/>
        <v>3.0435605544448752</v>
      </c>
      <c r="AH138" s="9">
        <f t="shared" si="37"/>
        <v>-1.6824073718753565</v>
      </c>
      <c r="AI138" s="9">
        <f t="shared" si="38"/>
        <v>-96.394841830154732</v>
      </c>
      <c r="AJ138" s="9">
        <f t="shared" si="39"/>
        <v>9.6676389372866804</v>
      </c>
      <c r="AL138" s="9" t="str">
        <f t="shared" si="42"/>
        <v>0.00116408568525435-0.000373534882878164i</v>
      </c>
      <c r="AM138" s="9" t="str">
        <f t="shared" si="43"/>
        <v>0.998765144494386-0.0324935806366018i</v>
      </c>
      <c r="AN138" s="9" t="str">
        <f t="shared" si="46"/>
        <v>-0.730912693849108+0.261041675306757i</v>
      </c>
      <c r="AO138" s="9">
        <f t="shared" si="47"/>
        <v>0.77612893405459249</v>
      </c>
      <c r="AP138" s="9">
        <f t="shared" si="48"/>
        <v>2.7985669810601324</v>
      </c>
      <c r="AQ138" s="9">
        <f t="shared" si="49"/>
        <v>160.34607669941377</v>
      </c>
      <c r="AR138" s="9">
        <f t="shared" si="50"/>
        <v>-2.2013225156331155</v>
      </c>
      <c r="AS138" s="9">
        <f t="shared" si="51"/>
        <v>7.4663164216535645</v>
      </c>
      <c r="AT138" s="9">
        <f t="shared" si="52"/>
        <v>63.951234869259039</v>
      </c>
    </row>
    <row r="139" spans="25:46" x14ac:dyDescent="0.25">
      <c r="Y139" s="9">
        <v>137</v>
      </c>
      <c r="Z139" s="9">
        <f t="shared" si="44"/>
        <v>4566.248434893605</v>
      </c>
      <c r="AA139" s="9" t="str">
        <f t="shared" si="53"/>
        <v>28690.5850750553i</v>
      </c>
      <c r="AB139" s="9">
        <f>(Assumed_Efficiency/100)*Rout/'4. Current Sense Resistor'!$B$11</f>
        <v>135.14141414141415</v>
      </c>
      <c r="AD139" s="9" t="str">
        <f t="shared" si="40"/>
        <v>0.0344294433763192-0.142930646479575i</v>
      </c>
      <c r="AE139" s="9" t="str">
        <f t="shared" si="45"/>
        <v>0.967900529439231-0.379037033528494i</v>
      </c>
      <c r="AF139" s="9" t="str">
        <f t="shared" si="41"/>
        <v>-0.392921092493115-2.85277879334559i</v>
      </c>
      <c r="AG139" s="9">
        <f t="shared" si="36"/>
        <v>2.8797107196189522</v>
      </c>
      <c r="AH139" s="9">
        <f t="shared" si="37"/>
        <v>-1.7076679216353234</v>
      </c>
      <c r="AI139" s="9">
        <f t="shared" si="38"/>
        <v>-97.842164719581035</v>
      </c>
      <c r="AJ139" s="9">
        <f t="shared" si="39"/>
        <v>9.1869772608568052</v>
      </c>
      <c r="AL139" s="9" t="str">
        <f t="shared" si="42"/>
        <v>0.00116406951623269-0.000351252204526345i</v>
      </c>
      <c r="AM139" s="9" t="str">
        <f t="shared" si="43"/>
        <v>0.998603765413249-0.0345483815496564i</v>
      </c>
      <c r="AN139" s="9" t="str">
        <f t="shared" si="46"/>
        <v>-0.730784545579446+0.248386335996818i</v>
      </c>
      <c r="AO139" s="9">
        <f t="shared" si="47"/>
        <v>0.77184313430105844</v>
      </c>
      <c r="AP139" s="9">
        <f t="shared" si="48"/>
        <v>2.8139527802231377</v>
      </c>
      <c r="AQ139" s="9">
        <f t="shared" si="49"/>
        <v>161.22761805588991</v>
      </c>
      <c r="AR139" s="9">
        <f t="shared" si="50"/>
        <v>-2.2494190925021864</v>
      </c>
      <c r="AS139" s="9">
        <f t="shared" si="51"/>
        <v>6.9375581683546184</v>
      </c>
      <c r="AT139" s="9">
        <f t="shared" si="52"/>
        <v>63.385453336308871</v>
      </c>
    </row>
    <row r="140" spans="25:46" x14ac:dyDescent="0.25">
      <c r="Y140" s="9">
        <v>138</v>
      </c>
      <c r="Z140" s="9">
        <f t="shared" si="44"/>
        <v>4855.9214147324665</v>
      </c>
      <c r="AA140" s="9" t="str">
        <f t="shared" si="53"/>
        <v>30510.6540858657i</v>
      </c>
      <c r="AB140" s="9">
        <f>(Assumed_Efficiency/100)*Rout/'4. Current Sense Resistor'!$B$11</f>
        <v>135.14141414141415</v>
      </c>
      <c r="AD140" s="9" t="str">
        <f t="shared" si="40"/>
        <v>0.0320270284290069-0.134738733618547i</v>
      </c>
      <c r="AE140" s="9" t="str">
        <f t="shared" si="45"/>
        <v>0.963729473419459-0.402723584732147i</v>
      </c>
      <c r="AF140" s="9" t="str">
        <f t="shared" si="41"/>
        <v>-0.440884440659656-2.68991467440277i</v>
      </c>
      <c r="AG140" s="9">
        <f t="shared" si="36"/>
        <v>2.725806311090929</v>
      </c>
      <c r="AH140" s="9">
        <f t="shared" si="37"/>
        <v>-1.7332545988612076</v>
      </c>
      <c r="AI140" s="9">
        <f t="shared" si="38"/>
        <v>-99.308173336387696</v>
      </c>
      <c r="AJ140" s="9">
        <f t="shared" si="39"/>
        <v>8.7098998545295743</v>
      </c>
      <c r="AL140" s="9" t="str">
        <f t="shared" si="42"/>
        <v>0.00116405521875164-0.00033029876621639i</v>
      </c>
      <c r="AM140" s="9" t="str">
        <f t="shared" si="43"/>
        <v>0.998421335186308-0.0367322161452954i</v>
      </c>
      <c r="AN140" s="9" t="str">
        <f t="shared" si="46"/>
        <v>-0.730642209922642+0.236669715366185i</v>
      </c>
      <c r="AO140" s="9">
        <f t="shared" si="47"/>
        <v>0.76801731301589349</v>
      </c>
      <c r="AP140" s="9">
        <f t="shared" si="48"/>
        <v>2.8283377750824492</v>
      </c>
      <c r="AQ140" s="9">
        <f t="shared" si="49"/>
        <v>162.05181754964585</v>
      </c>
      <c r="AR140" s="9">
        <f t="shared" si="50"/>
        <v>-2.292579795658324</v>
      </c>
      <c r="AS140" s="9">
        <f t="shared" si="51"/>
        <v>6.4173200588712502</v>
      </c>
      <c r="AT140" s="9">
        <f t="shared" si="52"/>
        <v>62.74364421325815</v>
      </c>
    </row>
    <row r="141" spans="25:46" x14ac:dyDescent="0.25">
      <c r="Y141" s="9">
        <v>139</v>
      </c>
      <c r="Z141" s="9">
        <f t="shared" si="44"/>
        <v>5163.9706253973836</v>
      </c>
      <c r="AA141" s="9" t="str">
        <f t="shared" si="53"/>
        <v>32446.1843602037i</v>
      </c>
      <c r="AB141" s="9">
        <f>(Assumed_Efficiency/100)*Rout/'4. Current Sense Resistor'!$B$11</f>
        <v>135.14141414141415</v>
      </c>
      <c r="AD141" s="9" t="str">
        <f t="shared" si="40"/>
        <v>0.0298927083547765-0.126980457037775i</v>
      </c>
      <c r="AE141" s="9" t="str">
        <f t="shared" si="45"/>
        <v>0.959020937024781-0.427840839525701i</v>
      </c>
      <c r="AF141" s="9" t="str">
        <f t="shared" si="41"/>
        <v>-0.483520236600946-2.53570849469337i</v>
      </c>
      <c r="AG141" s="9">
        <f t="shared" si="36"/>
        <v>2.5813967903564827</v>
      </c>
      <c r="AH141" s="9">
        <f t="shared" si="37"/>
        <v>-1.7592188142298135</v>
      </c>
      <c r="AI141" s="9">
        <f t="shared" si="38"/>
        <v>-100.79581329537753</v>
      </c>
      <c r="AJ141" s="9">
        <f t="shared" si="39"/>
        <v>8.2370953145700163</v>
      </c>
      <c r="AL141" s="9" t="str">
        <f t="shared" si="42"/>
        <v>0.00116404257618317-0.000310595274214512i</v>
      </c>
      <c r="AM141" s="9" t="str">
        <f t="shared" si="43"/>
        <v>0.998215118626728-0.0390530039988038i</v>
      </c>
      <c r="AN141" s="9" t="str">
        <f t="shared" si="46"/>
        <v>-0.730483551393037+0.225847222651524i</v>
      </c>
      <c r="AO141" s="9">
        <f t="shared" si="47"/>
        <v>0.76460001754851592</v>
      </c>
      <c r="AP141" s="9">
        <f t="shared" si="48"/>
        <v>2.8417398642901945</v>
      </c>
      <c r="AQ141" s="9">
        <f t="shared" si="49"/>
        <v>162.81970069790748</v>
      </c>
      <c r="AR141" s="9">
        <f t="shared" si="50"/>
        <v>-2.3313139269879031</v>
      </c>
      <c r="AS141" s="9">
        <f t="shared" si="51"/>
        <v>5.9057813875821132</v>
      </c>
      <c r="AT141" s="9">
        <f t="shared" si="52"/>
        <v>62.023887402529951</v>
      </c>
    </row>
    <row r="142" spans="25:46" x14ac:dyDescent="0.25">
      <c r="Y142" s="9">
        <v>140</v>
      </c>
      <c r="Z142" s="9">
        <f t="shared" si="44"/>
        <v>5491.5618154492358</v>
      </c>
      <c r="AA142" s="9" t="str">
        <f t="shared" si="53"/>
        <v>34504.5005122991i</v>
      </c>
      <c r="AB142" s="9">
        <f>(Assumed_Efficiency/100)*Rout/'4. Current Sense Resistor'!$B$11</f>
        <v>135.14141414141415</v>
      </c>
      <c r="AD142" s="9" t="str">
        <f t="shared" si="40"/>
        <v>0.0279975764664914-0.119638883478942i</v>
      </c>
      <c r="AE142" s="9" t="str">
        <f t="shared" si="45"/>
        <v>0.953706906793828-0.454465261017468i</v>
      </c>
      <c r="AF142" s="9" t="str">
        <f t="shared" si="41"/>
        <v>-0.521406031583986-2.38982377222327i</v>
      </c>
      <c r="AG142" s="9">
        <f t="shared" si="36"/>
        <v>2.4460420912272998</v>
      </c>
      <c r="AH142" s="9">
        <f t="shared" si="37"/>
        <v>-1.7856077072917131</v>
      </c>
      <c r="AI142" s="9">
        <f t="shared" si="38"/>
        <v>-102.30778549384644</v>
      </c>
      <c r="AJ142" s="9">
        <f t="shared" si="39"/>
        <v>7.7692785211391993</v>
      </c>
      <c r="AL142" s="9" t="str">
        <f t="shared" si="42"/>
        <v>0.00116403139697359-0.000292067164912912i</v>
      </c>
      <c r="AM142" s="9" t="str">
        <f t="shared" si="43"/>
        <v>0.99798202817758-0.0415191135810475i</v>
      </c>
      <c r="AN142" s="9" t="str">
        <f t="shared" si="46"/>
        <v>-0.730306193053196+0.215877600033913i</v>
      </c>
      <c r="AO142" s="9">
        <f t="shared" si="47"/>
        <v>0.76154466304232871</v>
      </c>
      <c r="AP142" s="9">
        <f t="shared" si="48"/>
        <v>2.8541785754783859</v>
      </c>
      <c r="AQ142" s="9">
        <f t="shared" si="49"/>
        <v>163.532386351573</v>
      </c>
      <c r="AR142" s="9">
        <f t="shared" si="50"/>
        <v>-2.3660924218963286</v>
      </c>
      <c r="AS142" s="9">
        <f t="shared" si="51"/>
        <v>5.4031860992428706</v>
      </c>
      <c r="AT142" s="9">
        <f t="shared" si="52"/>
        <v>61.224600857726557</v>
      </c>
    </row>
    <row r="143" spans="25:46" x14ac:dyDescent="0.25">
      <c r="Y143" s="9">
        <v>141</v>
      </c>
      <c r="Z143" s="9">
        <f t="shared" si="44"/>
        <v>5839.9346860303567</v>
      </c>
      <c r="AA143" s="9" t="str">
        <f t="shared" si="53"/>
        <v>36693.3918141544i</v>
      </c>
      <c r="AB143" s="9">
        <f>(Assumed_Efficiency/100)*Rout/'4. Current Sense Resistor'!$B$11</f>
        <v>135.14141414141415</v>
      </c>
      <c r="AD143" s="9" t="str">
        <f t="shared" si="40"/>
        <v>0.0263156242840995-0.112696672013202i</v>
      </c>
      <c r="AE143" s="9" t="str">
        <f t="shared" si="45"/>
        <v>0.947711105991871-0.482675363581009i</v>
      </c>
      <c r="AF143" s="9" t="str">
        <f t="shared" si="41"/>
        <v>-0.55506184416207-2.25191588660378i</v>
      </c>
      <c r="AG143" s="9">
        <f t="shared" si="36"/>
        <v>2.3193142976283068</v>
      </c>
      <c r="AH143" s="9">
        <f t="shared" si="37"/>
        <v>-1.8124633404816468</v>
      </c>
      <c r="AI143" s="9">
        <f t="shared" si="38"/>
        <v>-103.8464999317811</v>
      </c>
      <c r="AJ143" s="9">
        <f t="shared" si="39"/>
        <v>7.3071921049426827</v>
      </c>
      <c r="AL143" s="9" t="str">
        <f t="shared" si="42"/>
        <v>0.00116402151174128-0.000274644322665526i</v>
      </c>
      <c r="AM143" s="9" t="str">
        <f t="shared" si="43"/>
        <v>0.997718579355088-0.0441393800385841i</v>
      </c>
      <c r="AN143" s="9" t="str">
        <f t="shared" si="46"/>
        <v>-0.730107482124515+0.206722756366491i</v>
      </c>
      <c r="AO143" s="9">
        <f t="shared" si="47"/>
        <v>0.7588090889373682</v>
      </c>
      <c r="AP143" s="9">
        <f t="shared" si="48"/>
        <v>2.8656744525051163</v>
      </c>
      <c r="AQ143" s="9">
        <f t="shared" si="49"/>
        <v>164.19105158700606</v>
      </c>
      <c r="AR143" s="9">
        <f t="shared" si="50"/>
        <v>-2.3973495163500194</v>
      </c>
      <c r="AS143" s="9">
        <f t="shared" si="51"/>
        <v>4.9098425885926638</v>
      </c>
      <c r="AT143" s="9">
        <f t="shared" si="52"/>
        <v>60.344551655224961</v>
      </c>
    </row>
    <row r="144" spans="25:46" x14ac:dyDescent="0.25">
      <c r="Y144" s="9">
        <v>142</v>
      </c>
      <c r="Z144" s="9">
        <f t="shared" si="44"/>
        <v>6210.4075822572904</v>
      </c>
      <c r="AA144" s="9" t="str">
        <f t="shared" si="53"/>
        <v>39021.1416724357i</v>
      </c>
      <c r="AB144" s="9">
        <f>(Assumed_Efficiency/100)*Rout/'4. Current Sense Resistor'!$B$11</f>
        <v>135.14141414141415</v>
      </c>
      <c r="AD144" s="9" t="str">
        <f t="shared" si="40"/>
        <v>0.0248234989723241-0.106136314801547i</v>
      </c>
      <c r="AE144" s="9" t="str">
        <f t="shared" si="45"/>
        <v>0.940948085344716-0.512551310110321i</v>
      </c>
      <c r="AF144" s="9" t="str">
        <f t="shared" si="41"/>
        <v>-0.584955014732721-2.12163686075039i</v>
      </c>
      <c r="AG144" s="9">
        <f t="shared" si="36"/>
        <v>2.2007987954730726</v>
      </c>
      <c r="AH144" s="9">
        <f t="shared" si="37"/>
        <v>-1.8398218490456841</v>
      </c>
      <c r="AI144" s="9">
        <f t="shared" si="38"/>
        <v>-105.41402700627295</v>
      </c>
      <c r="AJ144" s="9">
        <f t="shared" si="39"/>
        <v>6.8516067937290428</v>
      </c>
      <c r="AL144" s="9" t="str">
        <f t="shared" si="42"/>
        <v>0.00116401277071026-0.000258260814455091i</v>
      </c>
      <c r="AM144" s="9" t="str">
        <f t="shared" si="43"/>
        <v>0.9974208407916-0.0469231219860607i</v>
      </c>
      <c r="AN144" s="9" t="str">
        <f t="shared" si="46"/>
        <v>-0.72988445186667+0.198347610873615i</v>
      </c>
      <c r="AO144" s="9">
        <f t="shared" si="47"/>
        <v>0.75635513339699112</v>
      </c>
      <c r="AP144" s="9">
        <f t="shared" si="48"/>
        <v>2.8762485173588321</v>
      </c>
      <c r="AQ144" s="9">
        <f t="shared" si="49"/>
        <v>164.79690087542158</v>
      </c>
      <c r="AR144" s="9">
        <f t="shared" si="50"/>
        <v>-2.4254848238278122</v>
      </c>
      <c r="AS144" s="9">
        <f t="shared" si="51"/>
        <v>4.4261219699012306</v>
      </c>
      <c r="AT144" s="9">
        <f t="shared" si="52"/>
        <v>59.382873869148639</v>
      </c>
    </row>
    <row r="145" spans="25:46" x14ac:dyDescent="0.25">
      <c r="Y145" s="9">
        <v>143</v>
      </c>
      <c r="Z145" s="9">
        <f t="shared" si="44"/>
        <v>6604.3824822253073</v>
      </c>
      <c r="AA145" s="9" t="str">
        <f t="shared" si="53"/>
        <v>41496.5589753123i</v>
      </c>
      <c r="AB145" s="9">
        <f>(Assumed_Efficiency/100)*Rout/'4. Current Sense Resistor'!$B$11</f>
        <v>135.14141414141415</v>
      </c>
      <c r="AD145" s="9" t="str">
        <f t="shared" si="40"/>
        <v>0.0235002700123302-0.0999403327092859i</v>
      </c>
      <c r="AE145" s="9" t="str">
        <f t="shared" si="45"/>
        <v>0.933322240215428-0.544174387680457i</v>
      </c>
      <c r="AF145" s="9" t="str">
        <f t="shared" si="41"/>
        <v>-0.611504877905032-1.99863923983335i</v>
      </c>
      <c r="AG145" s="9">
        <f t="shared" si="36"/>
        <v>2.090094980306703</v>
      </c>
      <c r="AH145" s="9">
        <f t="shared" si="37"/>
        <v>-1.8677125586732226</v>
      </c>
      <c r="AI145" s="9">
        <f t="shared" si="38"/>
        <v>-107.0120469555558</v>
      </c>
      <c r="AJ145" s="9">
        <f t="shared" si="39"/>
        <v>6.4033204445734864</v>
      </c>
      <c r="AL145" s="9" t="str">
        <f t="shared" si="42"/>
        <v>0.00116400504144091-0.000242854640387646i</v>
      </c>
      <c r="AM145" s="9" t="str">
        <f t="shared" si="43"/>
        <v>0.997084378289622-0.0498801568380015i</v>
      </c>
      <c r="AN145" s="9" t="str">
        <f t="shared" si="46"/>
        <v>-0.729633779271354+0.190719945838353i</v>
      </c>
      <c r="AO145" s="9">
        <f t="shared" si="47"/>
        <v>0.75414822786663316</v>
      </c>
      <c r="AP145" s="9">
        <f t="shared" si="48"/>
        <v>2.8859218032755019</v>
      </c>
      <c r="AQ145" s="9">
        <f t="shared" si="49"/>
        <v>165.3511393324701</v>
      </c>
      <c r="AR145" s="9">
        <f t="shared" si="50"/>
        <v>-2.4508657028241791</v>
      </c>
      <c r="AS145" s="9">
        <f t="shared" si="51"/>
        <v>3.9524547417493072</v>
      </c>
      <c r="AT145" s="9">
        <f t="shared" si="52"/>
        <v>58.339092376914294</v>
      </c>
    </row>
    <row r="146" spans="25:46" x14ac:dyDescent="0.25">
      <c r="Y146" s="9">
        <v>144</v>
      </c>
      <c r="Z146" s="9">
        <f t="shared" si="44"/>
        <v>7023.3503025047467</v>
      </c>
      <c r="AA146" s="9" t="str">
        <f t="shared" si="53"/>
        <v>44129.0114278731i</v>
      </c>
      <c r="AB146" s="9">
        <f>(Assumed_Efficiency/100)*Rout/'4. Current Sense Resistor'!$B$11</f>
        <v>135.14141414141415</v>
      </c>
      <c r="AD146" s="9" t="str">
        <f t="shared" si="40"/>
        <v>0.0223272077267558-0.0940914322371876i</v>
      </c>
      <c r="AE146" s="9" t="str">
        <f t="shared" si="45"/>
        <v>0.924726756151871-0.577626338500651i</v>
      </c>
      <c r="AF146" s="9" t="str">
        <f t="shared" si="41"/>
        <v>-0.635087200430342-1.88257919561928i</v>
      </c>
      <c r="AG146" s="9">
        <f t="shared" si="36"/>
        <v>1.9868165944366847</v>
      </c>
      <c r="AH146" s="9">
        <f t="shared" si="37"/>
        <v>-1.8961570896399818</v>
      </c>
      <c r="AI146" s="9">
        <f t="shared" si="38"/>
        <v>-108.64179853018028</v>
      </c>
      <c r="AJ146" s="9">
        <f t="shared" si="39"/>
        <v>5.9631555736973105</v>
      </c>
      <c r="AL146" s="9" t="str">
        <f t="shared" si="42"/>
        <v>0.0011639982068233-0.000228367499070372i</v>
      </c>
      <c r="AM146" s="9" t="str">
        <f t="shared" si="43"/>
        <v>0.9967041922531-0.0530208141005118i</v>
      </c>
      <c r="AN146" s="9" t="str">
        <f t="shared" si="46"/>
        <v>-0.729351738085383+0.183810267255242i</v>
      </c>
      <c r="AO146" s="9">
        <f t="shared" si="47"/>
        <v>0.75215701299436988</v>
      </c>
      <c r="AP146" s="9">
        <f t="shared" si="48"/>
        <v>2.8947149542333066</v>
      </c>
      <c r="AQ146" s="9">
        <f t="shared" si="49"/>
        <v>165.85494977097372</v>
      </c>
      <c r="AR146" s="9">
        <f t="shared" si="50"/>
        <v>-2.4738298169113477</v>
      </c>
      <c r="AS146" s="9">
        <f t="shared" si="51"/>
        <v>3.4893257567859628</v>
      </c>
      <c r="AT146" s="9">
        <f t="shared" si="52"/>
        <v>57.213151240793437</v>
      </c>
    </row>
    <row r="147" spans="25:46" x14ac:dyDescent="0.25">
      <c r="Y147" s="9">
        <v>145</v>
      </c>
      <c r="Z147" s="9">
        <f t="shared" si="44"/>
        <v>7468.8965402065769</v>
      </c>
      <c r="AA147" s="9" t="str">
        <f t="shared" si="53"/>
        <v>46928.4610022704i</v>
      </c>
      <c r="AB147" s="9">
        <f>(Assumed_Efficiency/100)*Rout/'4. Current Sense Resistor'!$B$11</f>
        <v>135.14141414141415</v>
      </c>
      <c r="AD147" s="9" t="str">
        <f t="shared" si="40"/>
        <v>0.0212875752935769-0.0885726295568416i</v>
      </c>
      <c r="AE147" s="9" t="str">
        <f t="shared" si="45"/>
        <v>0.915042487734289-0.612988519802341i</v>
      </c>
      <c r="AF147" s="9" t="str">
        <f t="shared" si="41"/>
        <v>-0.656038351973487-1.77311897081222i</v>
      </c>
      <c r="AG147" s="9">
        <f t="shared" si="36"/>
        <v>1.8905917602471123</v>
      </c>
      <c r="AH147" s="9">
        <f t="shared" si="37"/>
        <v>-1.925168473910265</v>
      </c>
      <c r="AI147" s="9">
        <f t="shared" si="38"/>
        <v>-110.30402840669971</v>
      </c>
      <c r="AJ147" s="9">
        <f t="shared" si="39"/>
        <v>5.5319552155831051</v>
      </c>
      <c r="AL147" s="9" t="str">
        <f t="shared" si="42"/>
        <v>0.00116399216330279-0.000214744566985034i</v>
      </c>
      <c r="AM147" s="9" t="str">
        <f t="shared" si="43"/>
        <v>0.996274647819587-0.0563559459168286i</v>
      </c>
      <c r="AN147" s="9" t="str">
        <f t="shared" si="46"/>
        <v>-0.729034146649888+0.177591672368612i</v>
      </c>
      <c r="AO147" s="9">
        <f t="shared" si="47"/>
        <v>0.75035297632261766</v>
      </c>
      <c r="AP147" s="9">
        <f t="shared" si="48"/>
        <v>2.9026478851895354</v>
      </c>
      <c r="AQ147" s="9">
        <f t="shared" si="49"/>
        <v>166.30947323393431</v>
      </c>
      <c r="AR147" s="9">
        <f t="shared" si="50"/>
        <v>-2.4946878093044385</v>
      </c>
      <c r="AS147" s="9">
        <f t="shared" si="51"/>
        <v>3.0372674062786666</v>
      </c>
      <c r="AT147" s="9">
        <f t="shared" si="52"/>
        <v>56.005444827234598</v>
      </c>
    </row>
    <row r="148" spans="25:46" x14ac:dyDescent="0.25">
      <c r="Y148" s="9">
        <v>146</v>
      </c>
      <c r="Z148" s="9">
        <f t="shared" si="44"/>
        <v>7942.7072729684578</v>
      </c>
      <c r="AA148" s="9" t="str">
        <f t="shared" si="53"/>
        <v>49905.5016367439i</v>
      </c>
      <c r="AB148" s="9">
        <f>(Assumed_Efficiency/100)*Rout/'4. Current Sense Resistor'!$B$11</f>
        <v>135.14141414141415</v>
      </c>
      <c r="AD148" s="9" t="str">
        <f t="shared" si="40"/>
        <v>0.0203664351269368-0.0833673467701823i</v>
      </c>
      <c r="AE148" s="9" t="str">
        <f t="shared" si="45"/>
        <v>0.904136779617691-0.65034086291557i</v>
      </c>
      <c r="AF148" s="9" t="str">
        <f t="shared" si="41"/>
        <v>-0.674659190985681-1.66992876461583i</v>
      </c>
      <c r="AG148" s="9">
        <f t="shared" si="36"/>
        <v>1.801062770386642</v>
      </c>
      <c r="AH148" s="9">
        <f t="shared" si="37"/>
        <v>-1.9547503194877811</v>
      </c>
      <c r="AI148" s="9">
        <f t="shared" si="38"/>
        <v>-111.99894330849914</v>
      </c>
      <c r="AJ148" s="9">
        <f t="shared" si="39"/>
        <v>5.1105769810713397</v>
      </c>
      <c r="AL148" s="9" t="str">
        <f t="shared" si="42"/>
        <v>0.00116398681931105-0.000201934291022221i</v>
      </c>
      <c r="AM148" s="9" t="str">
        <f t="shared" si="43"/>
        <v>0.995789396979413-0.0598969340109134i</v>
      </c>
      <c r="AN148" s="9" t="str">
        <f t="shared" si="46"/>
        <v>-0.728676310017073+0.172039722941009i</v>
      </c>
      <c r="AO148" s="9">
        <f t="shared" si="47"/>
        <v>0.7487101114915683</v>
      </c>
      <c r="AP148" s="9">
        <f t="shared" si="48"/>
        <v>2.9097394970875747</v>
      </c>
      <c r="AQ148" s="9">
        <f t="shared" si="49"/>
        <v>166.71579266563671</v>
      </c>
      <c r="AR148" s="9">
        <f t="shared" si="50"/>
        <v>-2.5137260318338077</v>
      </c>
      <c r="AS148" s="9">
        <f t="shared" si="51"/>
        <v>2.596850949237532</v>
      </c>
      <c r="AT148" s="9">
        <f t="shared" si="52"/>
        <v>54.716849357137576</v>
      </c>
    </row>
    <row r="149" spans="25:46" x14ac:dyDescent="0.25">
      <c r="Y149" s="9">
        <v>147</v>
      </c>
      <c r="Z149" s="9">
        <f t="shared" si="44"/>
        <v>8446.5755395671058</v>
      </c>
      <c r="AA149" s="9" t="str">
        <f t="shared" si="53"/>
        <v>53071.3993261905i</v>
      </c>
      <c r="AB149" s="9">
        <f>(Assumed_Efficiency/100)*Rout/'4. Current Sense Resistor'!$B$11</f>
        <v>135.14141414141415</v>
      </c>
      <c r="AD149" s="9" t="str">
        <f t="shared" si="40"/>
        <v>0.0195504699316479-0.0784594848764661i</v>
      </c>
      <c r="AE149" s="9" t="str">
        <f t="shared" si="45"/>
        <v>0.891862243802439-0.689760598378872i</v>
      </c>
      <c r="AF149" s="9" t="str">
        <f t="shared" si="41"/>
        <v>-0.69121865919074-1.57268814796737i</v>
      </c>
      <c r="AG149" s="9">
        <f t="shared" si="36"/>
        <v>1.7178856904842303</v>
      </c>
      <c r="AH149" s="9">
        <f t="shared" si="37"/>
        <v>-1.9848960637221704</v>
      </c>
      <c r="AI149" s="9">
        <f t="shared" si="38"/>
        <v>-113.72616722341047</v>
      </c>
      <c r="AJ149" s="9">
        <f t="shared" si="39"/>
        <v>4.6998852429479268</v>
      </c>
      <c r="AL149" s="9" t="str">
        <f t="shared" si="42"/>
        <v>0.00116398209387864-0.000189888193391342i</v>
      </c>
      <c r="AM149" s="9" t="str">
        <f t="shared" si="43"/>
        <v>0.995241291938839-0.0636556919969119i</v>
      </c>
      <c r="AN149" s="9" t="str">
        <f t="shared" si="46"/>
        <v>-0.728272955786665+0.167132322999058i</v>
      </c>
      <c r="AO149" s="9">
        <f t="shared" si="47"/>
        <v>0.7472045981665979</v>
      </c>
      <c r="AP149" s="9">
        <f t="shared" si="48"/>
        <v>2.9160074406752035</v>
      </c>
      <c r="AQ149" s="9">
        <f t="shared" si="49"/>
        <v>167.07491937943394</v>
      </c>
      <c r="AR149" s="9">
        <f t="shared" si="50"/>
        <v>-2.5312092839469518</v>
      </c>
      <c r="AS149" s="9">
        <f t="shared" si="51"/>
        <v>2.168675959000975</v>
      </c>
      <c r="AT149" s="9">
        <f t="shared" si="52"/>
        <v>53.348752156023465</v>
      </c>
    </row>
    <row r="150" spans="25:46" x14ac:dyDescent="0.25">
      <c r="Y150" s="9">
        <v>148</v>
      </c>
      <c r="Z150" s="9">
        <f t="shared" si="44"/>
        <v>8982.4081253027471</v>
      </c>
      <c r="AA150" s="9" t="str">
        <f t="shared" si="53"/>
        <v>56438.1347559928i</v>
      </c>
      <c r="AB150" s="9">
        <f>(Assumed_Efficiency/100)*Rout/'4. Current Sense Resistor'!$B$11</f>
        <v>135.14141414141415</v>
      </c>
      <c r="AD150" s="9" t="str">
        <f t="shared" si="40"/>
        <v>0.0188278183169656-0.0738334773383487i</v>
      </c>
      <c r="AE150" s="9" t="str">
        <f t="shared" si="45"/>
        <v>0.878055513708136-0.731320710689042i</v>
      </c>
      <c r="AF150" s="9" t="str">
        <f t="shared" si="41"/>
        <v>-0.70595708641584-1.48108708502429i</v>
      </c>
      <c r="AG150" s="9">
        <f t="shared" si="36"/>
        <v>1.6407298258051171</v>
      </c>
      <c r="AH150" s="9">
        <f t="shared" si="37"/>
        <v>-2.0155883634563962</v>
      </c>
      <c r="AI150" s="9">
        <f t="shared" si="38"/>
        <v>-115.48470646173212</v>
      </c>
      <c r="AJ150" s="9">
        <f t="shared" si="39"/>
        <v>4.3007414586964829</v>
      </c>
      <c r="AL150" s="9" t="str">
        <f t="shared" si="42"/>
        <v>0.00116397791540821-0.000178560688168187i</v>
      </c>
      <c r="AM150" s="9" t="str">
        <f t="shared" si="43"/>
        <v>0.994622288967798-0.0676446618155601i</v>
      </c>
      <c r="AN150" s="9" t="str">
        <f t="shared" si="46"/>
        <v>-0.727818163094068+0.162849599682825i</v>
      </c>
      <c r="AO150" s="9">
        <f t="shared" si="47"/>
        <v>0.74581450149918627</v>
      </c>
      <c r="AP150" s="9">
        <f t="shared" si="48"/>
        <v>2.9214679234436183</v>
      </c>
      <c r="AQ150" s="9">
        <f t="shared" si="49"/>
        <v>167.38778199616803</v>
      </c>
      <c r="AR150" s="9">
        <f t="shared" si="50"/>
        <v>-2.547383530788208</v>
      </c>
      <c r="AS150" s="9">
        <f t="shared" si="51"/>
        <v>1.7533579279082749</v>
      </c>
      <c r="AT150" s="9">
        <f t="shared" si="52"/>
        <v>51.903075534435914</v>
      </c>
    </row>
    <row r="151" spans="25:46" x14ac:dyDescent="0.25">
      <c r="Y151" s="9">
        <v>149</v>
      </c>
      <c r="Z151" s="9">
        <f t="shared" si="44"/>
        <v>9552.2327778341514</v>
      </c>
      <c r="AA151" s="9" t="str">
        <f t="shared" si="53"/>
        <v>60018.4486404468i</v>
      </c>
      <c r="AB151" s="9">
        <f>(Assumed_Efficiency/100)*Rout/'4. Current Sense Resistor'!$B$11</f>
        <v>135.14141414141415</v>
      </c>
      <c r="AD151" s="9" t="str">
        <f t="shared" si="40"/>
        <v>0.018187924553988-0.0694743275997014i</v>
      </c>
      <c r="AE151" s="9" t="str">
        <f t="shared" si="45"/>
        <v>0.862536003814612-0.775088083501075i</v>
      </c>
      <c r="AF151" s="9" t="str">
        <f t="shared" si="41"/>
        <v>-0.719089213287714-1.39482662667451i</v>
      </c>
      <c r="AG151" s="9">
        <f t="shared" si="36"/>
        <v>1.5692770995419951</v>
      </c>
      <c r="AH151" s="9">
        <f t="shared" si="37"/>
        <v>-2.0467986738699695</v>
      </c>
      <c r="AI151" s="9">
        <f t="shared" si="38"/>
        <v>-117.27292552572307</v>
      </c>
      <c r="AJ151" s="9">
        <f t="shared" si="39"/>
        <v>3.9139927426943184</v>
      </c>
      <c r="AL151" s="9" t="str">
        <f t="shared" si="42"/>
        <v>0.00116397422058971-0.000167908908785856i</v>
      </c>
      <c r="AM151" s="9" t="str">
        <f t="shared" si="43"/>
        <v>0.993923341975043-0.0718768028175446i</v>
      </c>
      <c r="AN151" s="9" t="str">
        <f t="shared" si="46"/>
        <v>-0.727305284185334+0.159173785676659i</v>
      </c>
      <c r="AO151" s="9">
        <f t="shared" si="47"/>
        <v>0.74451948963781234</v>
      </c>
      <c r="AP151" s="9">
        <f t="shared" si="48"/>
        <v>2.926135554442336</v>
      </c>
      <c r="AQ151" s="9">
        <f t="shared" si="49"/>
        <v>167.65521755271897</v>
      </c>
      <c r="AR151" s="9">
        <f t="shared" si="50"/>
        <v>-2.5624785806304864</v>
      </c>
      <c r="AS151" s="9">
        <f t="shared" si="51"/>
        <v>1.351514162063832</v>
      </c>
      <c r="AT151" s="9">
        <f t="shared" si="52"/>
        <v>50.382292026995898</v>
      </c>
    </row>
    <row r="152" spans="25:46" x14ac:dyDescent="0.25">
      <c r="Y152" s="9">
        <v>150</v>
      </c>
      <c r="Z152" s="9">
        <f t="shared" si="44"/>
        <v>10158.205880770249</v>
      </c>
      <c r="AA152" s="9" t="str">
        <f t="shared" si="53"/>
        <v>63825.8899373609i</v>
      </c>
      <c r="AB152" s="9">
        <f>(Assumed_Efficiency/100)*Rout/'4. Current Sense Resistor'!$B$11</f>
        <v>135.14141414141415</v>
      </c>
      <c r="AD152" s="9" t="str">
        <f t="shared" si="40"/>
        <v>0.0176214018540333-0.065367633424216i</v>
      </c>
      <c r="AE152" s="9" t="str">
        <f t="shared" si="45"/>
        <v>0.845104713711781-0.82112129411417i</v>
      </c>
      <c r="AF152" s="9" t="str">
        <f t="shared" si="41"/>
        <v>-0.730806943178704-1.31361933215635i</v>
      </c>
      <c r="AG152" s="9">
        <f t="shared" si="36"/>
        <v>1.5032213868931936</v>
      </c>
      <c r="AH152" s="9">
        <f t="shared" si="37"/>
        <v>-2.0784870686036787</v>
      </c>
      <c r="AI152" s="9">
        <f t="shared" si="38"/>
        <v>-119.0885368035092</v>
      </c>
      <c r="AJ152" s="9">
        <f t="shared" si="39"/>
        <v>3.5404589201307211</v>
      </c>
      <c r="AL152" s="9" t="str">
        <f t="shared" si="42"/>
        <v>0.00116397095344112-0.0001578925458163i</v>
      </c>
      <c r="AM152" s="9" t="str">
        <f t="shared" si="43"/>
        <v>0.993134285081546-0.0763655717344585i</v>
      </c>
      <c r="AN152" s="9" t="str">
        <f t="shared" si="46"/>
        <v>-0.726726858035862+0.156089101521691i</v>
      </c>
      <c r="AO152" s="9">
        <f t="shared" si="47"/>
        <v>0.74330056760675545</v>
      </c>
      <c r="AP152" s="9">
        <f t="shared" si="48"/>
        <v>2.930023222288598</v>
      </c>
      <c r="AQ152" s="9">
        <f t="shared" si="49"/>
        <v>167.8779645124585</v>
      </c>
      <c r="AR152" s="9">
        <f t="shared" si="50"/>
        <v>-2.5767107111309038</v>
      </c>
      <c r="AS152" s="9">
        <f t="shared" si="51"/>
        <v>0.96374820899981728</v>
      </c>
      <c r="AT152" s="9">
        <f t="shared" si="52"/>
        <v>48.789427708949304</v>
      </c>
    </row>
    <row r="153" spans="25:46" x14ac:dyDescent="0.25">
      <c r="Y153" s="9">
        <v>151</v>
      </c>
      <c r="Z153" s="9">
        <f t="shared" si="44"/>
        <v>10802.620614058389</v>
      </c>
      <c r="AA153" s="9" t="str">
        <f t="shared" si="53"/>
        <v>67874.867121287i</v>
      </c>
      <c r="AB153" s="9">
        <f>(Assumed_Efficiency/100)*Rout/'4. Current Sense Resistor'!$B$11</f>
        <v>135.14141414141415</v>
      </c>
      <c r="AD153" s="9" t="str">
        <f t="shared" si="40"/>
        <v>0.0171199084114556-0.0614996004953341i</v>
      </c>
      <c r="AE153" s="9" t="str">
        <f t="shared" si="45"/>
        <v>0.825543127584638-0.869468015436973i</v>
      </c>
      <c r="AF153" s="9" t="str">
        <f t="shared" si="41"/>
        <v>-0.741281837140046-1.23718946632048i</v>
      </c>
      <c r="AG153" s="9">
        <f t="shared" si="36"/>
        <v>1.4422678453214146</v>
      </c>
      <c r="AH153" s="9">
        <f t="shared" si="37"/>
        <v>-2.1106023502878379</v>
      </c>
      <c r="AI153" s="9">
        <f t="shared" si="38"/>
        <v>-120.9286069018853</v>
      </c>
      <c r="AJ153" s="9">
        <f t="shared" si="39"/>
        <v>3.1809184246323232</v>
      </c>
      <c r="AL153" s="9" t="str">
        <f t="shared" si="42"/>
        <v>0.00116396806446028-0.000148473694428616i</v>
      </c>
      <c r="AM153" s="9" t="str">
        <f t="shared" si="43"/>
        <v>0.992243703526319-0.0811248914565252i</v>
      </c>
      <c r="AN153" s="9" t="str">
        <f t="shared" si="46"/>
        <v>-0.726074515517353+0.153581635900135i</v>
      </c>
      <c r="AO153" s="9">
        <f t="shared" si="47"/>
        <v>0.74213982575355741</v>
      </c>
      <c r="AP153" s="9">
        <f t="shared" si="48"/>
        <v>2.933142002326294</v>
      </c>
      <c r="AQ153" s="9">
        <f t="shared" si="49"/>
        <v>168.05665744584815</v>
      </c>
      <c r="AR153" s="9">
        <f t="shared" si="50"/>
        <v>-2.5902852412598603</v>
      </c>
      <c r="AS153" s="9">
        <f t="shared" si="51"/>
        <v>0.59063318337246296</v>
      </c>
      <c r="AT153" s="9">
        <f t="shared" si="52"/>
        <v>47.128050543962843</v>
      </c>
    </row>
    <row r="154" spans="25:46" x14ac:dyDescent="0.25">
      <c r="Y154" s="9">
        <v>152</v>
      </c>
      <c r="Z154" s="9">
        <f t="shared" si="44"/>
        <v>11487.915632049675</v>
      </c>
      <c r="AA154" s="9" t="str">
        <f t="shared" si="53"/>
        <v>72180.7027094132i</v>
      </c>
      <c r="AB154" s="9">
        <f>(Assumed_Efficiency/100)*Rout/'4. Current Sense Resistor'!$B$11</f>
        <v>135.14141414141415</v>
      </c>
      <c r="AD154" s="9" t="str">
        <f t="shared" si="40"/>
        <v>0.016676035376299-0.0578570473421504i</v>
      </c>
      <c r="AE154" s="9" t="str">
        <f t="shared" si="45"/>
        <v>0.803612274606456-0.920161984979991i</v>
      </c>
      <c r="AF154" s="9" t="str">
        <f t="shared" si="41"/>
        <v>-0.750667366742264-1.16527301261191i</v>
      </c>
      <c r="AG154" s="9">
        <f t="shared" si="36"/>
        <v>1.3861322770260425</v>
      </c>
      <c r="AH154" s="9">
        <f t="shared" si="37"/>
        <v>-2.1430824922392659</v>
      </c>
      <c r="AI154" s="9">
        <f t="shared" si="38"/>
        <v>-122.78958195368794</v>
      </c>
      <c r="AJ154" s="9">
        <f t="shared" si="39"/>
        <v>2.8360935296333052</v>
      </c>
      <c r="AL154" s="9" t="str">
        <f t="shared" si="42"/>
        <v>0.00116396550987482-0.000139616710946883i</v>
      </c>
      <c r="AM154" s="9" t="str">
        <f t="shared" si="43"/>
        <v>0.991238792349176-0.0861691061694072i</v>
      </c>
      <c r="AN154" s="9" t="str">
        <f t="shared" si="46"/>
        <v>-0.725338875698981+0.151639221736811i</v>
      </c>
      <c r="AO154" s="9">
        <f t="shared" si="47"/>
        <v>0.74102020091844167</v>
      </c>
      <c r="AP154" s="9">
        <f t="shared" si="48"/>
        <v>2.9355010895670111</v>
      </c>
      <c r="AQ154" s="9">
        <f t="shared" si="49"/>
        <v>168.19182318824437</v>
      </c>
      <c r="AR154" s="9">
        <f t="shared" si="50"/>
        <v>-2.6033990515382586</v>
      </c>
      <c r="AS154" s="9">
        <f t="shared" si="51"/>
        <v>0.23269447809504662</v>
      </c>
      <c r="AT154" s="9">
        <f t="shared" si="52"/>
        <v>45.402241234556428</v>
      </c>
    </row>
    <row r="155" spans="25:46" x14ac:dyDescent="0.25">
      <c r="Y155" s="9">
        <v>153</v>
      </c>
      <c r="Z155" s="9">
        <f t="shared" si="44"/>
        <v>12216.684292082227</v>
      </c>
      <c r="AA155" s="9" t="str">
        <f t="shared" si="53"/>
        <v>76759.6912464627i</v>
      </c>
      <c r="AB155" s="9">
        <f>(Assumed_Efficiency/100)*Rout/'4. Current Sense Resistor'!$B$11</f>
        <v>135.14141414141415</v>
      </c>
      <c r="AD155" s="9" t="str">
        <f t="shared" si="40"/>
        <v>0.0162832058860787-0.0544274033290296i</v>
      </c>
      <c r="AE155" s="9" t="str">
        <f t="shared" si="45"/>
        <v>0.779052032464853-0.973219504618623i</v>
      </c>
      <c r="AF155" s="9" t="str">
        <f t="shared" si="41"/>
        <v>-0.759100940030296-1.09761753544384i</v>
      </c>
      <c r="AG155" s="9">
        <f t="shared" si="36"/>
        <v>1.3345405543739346</v>
      </c>
      <c r="AH155" s="9">
        <f t="shared" si="37"/>
        <v>-2.1758554385934867</v>
      </c>
      <c r="AI155" s="9">
        <f t="shared" si="38"/>
        <v>-124.66733346199345</v>
      </c>
      <c r="AJ155" s="9">
        <f t="shared" si="39"/>
        <v>2.5066355156096347</v>
      </c>
      <c r="AL155" s="9" t="str">
        <f t="shared" si="42"/>
        <v>0.00116396325097894-0.000131288077964726i</v>
      </c>
      <c r="AM155" s="9" t="str">
        <f t="shared" si="43"/>
        <v>0.990105202466987-0.0915129199879434i</v>
      </c>
      <c r="AN155" s="9" t="str">
        <f t="shared" si="46"/>
        <v>-0.724509432995598+0.150251305682441i</v>
      </c>
      <c r="AO155" s="9">
        <f t="shared" si="47"/>
        <v>0.73992524849398211</v>
      </c>
      <c r="AP155" s="9">
        <f t="shared" si="48"/>
        <v>2.9371077547435562</v>
      </c>
      <c r="AQ155" s="9">
        <f t="shared" si="49"/>
        <v>168.28387832195108</v>
      </c>
      <c r="AR155" s="9">
        <f t="shared" si="50"/>
        <v>-2.6162430596069832</v>
      </c>
      <c r="AS155" s="9">
        <f t="shared" si="51"/>
        <v>-0.10960754399734851</v>
      </c>
      <c r="AT155" s="9">
        <f t="shared" si="52"/>
        <v>43.616544859957628</v>
      </c>
    </row>
    <row r="156" spans="25:46" x14ac:dyDescent="0.25">
      <c r="Y156" s="9">
        <v>154</v>
      </c>
      <c r="Z156" s="9">
        <f t="shared" si="44"/>
        <v>12991.684468506162</v>
      </c>
      <c r="AA156" s="9" t="str">
        <f t="shared" si="53"/>
        <v>81629.1609680312i</v>
      </c>
      <c r="AB156" s="9">
        <f>(Assumed_Efficiency/100)*Rout/'4. Current Sense Resistor'!$B$11</f>
        <v>135.14141414141415</v>
      </c>
      <c r="AD156" s="9" t="str">
        <f t="shared" si="40"/>
        <v>0.0159355842807209-0.0511987011643573i</v>
      </c>
      <c r="AE156" s="9" t="str">
        <f t="shared" si="45"/>
        <v>0.75158077515969-1.02863544294078i</v>
      </c>
      <c r="AF156" s="9" t="str">
        <f t="shared" si="41"/>
        <v>-0.76670571541786-1.03398192021662i</v>
      </c>
      <c r="AG156" s="9">
        <f t="shared" si="36"/>
        <v>1.2872281326125767</v>
      </c>
      <c r="AH156" s="9">
        <f t="shared" si="37"/>
        <v>-2.2088402718703373</v>
      </c>
      <c r="AI156" s="9">
        <f t="shared" si="38"/>
        <v>-126.55722519669965</v>
      </c>
      <c r="AJ156" s="9">
        <f t="shared" si="39"/>
        <v>2.1931104556431267</v>
      </c>
      <c r="AL156" s="9" t="str">
        <f t="shared" si="42"/>
        <v>0.00116396125354701-0.000123456277506191i</v>
      </c>
      <c r="AM156" s="9" t="str">
        <f t="shared" si="43"/>
        <v>0.988826874011655-0.0971713157619988i</v>
      </c>
      <c r="AN156" s="9" t="str">
        <f t="shared" si="46"/>
        <v>-0.723574435060306+0.14940880822591i</v>
      </c>
      <c r="AO156" s="9">
        <f t="shared" si="47"/>
        <v>0.73883892361483494</v>
      </c>
      <c r="AP156" s="9">
        <f t="shared" si="48"/>
        <v>2.9379673215110493</v>
      </c>
      <c r="AQ156" s="9">
        <f t="shared" si="49"/>
        <v>168.33312786993812</v>
      </c>
      <c r="AR156" s="9">
        <f t="shared" si="50"/>
        <v>-2.6290046613372473</v>
      </c>
      <c r="AS156" s="9">
        <f t="shared" si="51"/>
        <v>-0.43589420569412063</v>
      </c>
      <c r="AT156" s="9">
        <f t="shared" si="52"/>
        <v>41.775902673238477</v>
      </c>
    </row>
    <row r="157" spans="25:46" x14ac:dyDescent="0.25">
      <c r="Y157" s="9">
        <v>155</v>
      </c>
      <c r="Z157" s="9">
        <f t="shared" si="44"/>
        <v>13815.848989288772</v>
      </c>
      <c r="AA157" s="9" t="str">
        <f t="shared" si="53"/>
        <v>86807.5393757111i</v>
      </c>
      <c r="AB157" s="9">
        <f>(Assumed_Efficiency/100)*Rout/'4. Current Sense Resistor'!$B$11</f>
        <v>135.14141414141415</v>
      </c>
      <c r="AD157" s="9" t="str">
        <f t="shared" si="40"/>
        <v>0.0156279946416074-0.0481595651416089i</v>
      </c>
      <c r="AE157" s="9" t="str">
        <f t="shared" si="45"/>
        <v>0.72089548687019-1.08637872516014i</v>
      </c>
      <c r="AF157" s="9" t="str">
        <f t="shared" si="41"/>
        <v>-0.773592217476272-0.974136014744488i</v>
      </c>
      <c r="AG157" s="9">
        <f t="shared" si="36"/>
        <v>1.2439396666085252</v>
      </c>
      <c r="AH157" s="9">
        <f t="shared" si="37"/>
        <v>-2.241948735023787</v>
      </c>
      <c r="AI157" s="9">
        <f t="shared" si="38"/>
        <v>-128.45420040155673</v>
      </c>
      <c r="AJ157" s="9">
        <f t="shared" si="39"/>
        <v>1.895986335481596</v>
      </c>
      <c r="AL157" s="9" t="str">
        <f t="shared" si="42"/>
        <v>0.00116395948731496-0.000116091671752957i</v>
      </c>
      <c r="AM157" s="9" t="str">
        <f t="shared" si="43"/>
        <v>0.987385857151183-0.103159450220848i</v>
      </c>
      <c r="AN157" s="9" t="str">
        <f t="shared" si="46"/>
        <v>-0.722520751577387+0.149103971330395i</v>
      </c>
      <c r="AO157" s="9">
        <f t="shared" si="47"/>
        <v>0.73774536984412686</v>
      </c>
      <c r="AP157" s="9">
        <f t="shared" si="48"/>
        <v>2.9380831635360054</v>
      </c>
      <c r="AQ157" s="9">
        <f t="shared" si="49"/>
        <v>168.33976512905835</v>
      </c>
      <c r="AR157" s="9">
        <f t="shared" si="50"/>
        <v>-2.6418701498086161</v>
      </c>
      <c r="AS157" s="9">
        <f t="shared" si="51"/>
        <v>-0.74588381432702011</v>
      </c>
      <c r="AT157" s="9">
        <f t="shared" si="52"/>
        <v>39.885564727501617</v>
      </c>
    </row>
    <row r="158" spans="25:46" x14ac:dyDescent="0.25">
      <c r="Y158" s="9">
        <v>156</v>
      </c>
      <c r="Z158" s="9">
        <f t="shared" si="44"/>
        <v>14692.296734695852</v>
      </c>
      <c r="AA158" s="9" t="str">
        <f t="shared" si="53"/>
        <v>92314.4229721636i</v>
      </c>
      <c r="AB158" s="9">
        <f>(Assumed_Efficiency/100)*Rout/'4. Current Sense Resistor'!$B$11</f>
        <v>135.14141414141415</v>
      </c>
      <c r="AD158" s="9" t="str">
        <f t="shared" si="40"/>
        <v>0.0153558478279278-0.0452991961191243i</v>
      </c>
      <c r="AE158" s="9" t="str">
        <f t="shared" si="45"/>
        <v>0.686672485279822-1.14638731521781i</v>
      </c>
      <c r="AF158" s="9" t="str">
        <f t="shared" si="41"/>
        <v>-0.779859767372746-0.917860192233894i</v>
      </c>
      <c r="AG158" s="9">
        <f t="shared" si="36"/>
        <v>1.2044287397992106</v>
      </c>
      <c r="AH158" s="9">
        <f t="shared" si="37"/>
        <v>-2.2750870711872757</v>
      </c>
      <c r="AI158" s="9">
        <f t="shared" si="38"/>
        <v>-130.35288720381038</v>
      </c>
      <c r="AJ158" s="9">
        <f t="shared" si="39"/>
        <v>1.6156221999710469</v>
      </c>
      <c r="AL158" s="9" t="str">
        <f t="shared" si="42"/>
        <v>0.00116395792552173-0.000109166390886538i</v>
      </c>
      <c r="AM158" s="9" t="str">
        <f t="shared" si="43"/>
        <v>0.985762121095685-0.109492521073752i</v>
      </c>
      <c r="AN158" s="9" t="str">
        <f t="shared" si="46"/>
        <v>-0.72133373446332+0.149330190105629i</v>
      </c>
      <c r="AO158" s="9">
        <f t="shared" si="47"/>
        <v>0.73662871390666196</v>
      </c>
      <c r="AP158" s="9">
        <f t="shared" si="48"/>
        <v>2.937456720917186</v>
      </c>
      <c r="AQ158" s="9">
        <f t="shared" si="49"/>
        <v>168.30387261089288</v>
      </c>
      <c r="AR158" s="9">
        <f t="shared" si="50"/>
        <v>-2.6550271256371309</v>
      </c>
      <c r="AS158" s="9">
        <f t="shared" si="51"/>
        <v>-1.039404925666084</v>
      </c>
      <c r="AT158" s="9">
        <f t="shared" si="52"/>
        <v>37.950985407082499</v>
      </c>
    </row>
    <row r="159" spans="25:46" x14ac:dyDescent="0.25">
      <c r="Y159" s="9">
        <v>157</v>
      </c>
      <c r="Z159" s="9">
        <f t="shared" si="44"/>
        <v>15624.344440049217</v>
      </c>
      <c r="AA159" s="9" t="str">
        <f t="shared" si="53"/>
        <v>98170.6514200303i</v>
      </c>
      <c r="AB159" s="9">
        <f>(Assumed_Efficiency/100)*Rout/'4. Current Sense Resistor'!$B$11</f>
        <v>135.14141414141415</v>
      </c>
      <c r="AD159" s="9" t="str">
        <f t="shared" si="40"/>
        <v>0.0151150762259585-0.0426073540693529i</v>
      </c>
      <c r="AE159" s="9" t="str">
        <f t="shared" si="45"/>
        <v>0.648568918934433-1.208562722271i</v>
      </c>
      <c r="AF159" s="9" t="str">
        <f t="shared" si="41"/>
        <v>-0.785597739320634-0.864944853162062i</v>
      </c>
      <c r="AG159" s="9">
        <f t="shared" si="36"/>
        <v>1.1684577044280344</v>
      </c>
      <c r="AH159" s="9">
        <f t="shared" si="37"/>
        <v>-2.3081581209111364</v>
      </c>
      <c r="AI159" s="9">
        <f t="shared" si="38"/>
        <v>-132.2477187770549</v>
      </c>
      <c r="AJ159" s="9">
        <f t="shared" si="39"/>
        <v>1.3522599303550167</v>
      </c>
      <c r="AL159" s="9" t="str">
        <f t="shared" si="42"/>
        <v>0.00116395654450381-0.000102654227621045i</v>
      </c>
      <c r="AM159" s="9" t="str">
        <f t="shared" si="43"/>
        <v>0.983933352628585-0.116185601107114i</v>
      </c>
      <c r="AN159" s="9" t="str">
        <f t="shared" si="46"/>
        <v>-0.719997070450413+0.150081824624023i</v>
      </c>
      <c r="AO159" s="9">
        <f t="shared" si="47"/>
        <v>0.73547286526401012</v>
      </c>
      <c r="AP159" s="9">
        <f t="shared" si="48"/>
        <v>2.9360875360839378</v>
      </c>
      <c r="AQ159" s="9">
        <f t="shared" si="49"/>
        <v>168.22542409857445</v>
      </c>
      <c r="AR159" s="9">
        <f t="shared" si="50"/>
        <v>-2.6686669123930673</v>
      </c>
      <c r="AS159" s="9">
        <f t="shared" si="51"/>
        <v>-1.3164069820380506</v>
      </c>
      <c r="AT159" s="9">
        <f t="shared" si="52"/>
        <v>35.977705321519551</v>
      </c>
    </row>
    <row r="160" spans="25:46" x14ac:dyDescent="0.25">
      <c r="Y160" s="9">
        <v>158</v>
      </c>
      <c r="Z160" s="9">
        <f t="shared" si="44"/>
        <v>16615.519247226184</v>
      </c>
      <c r="AA160" s="9" t="str">
        <f t="shared" si="53"/>
        <v>104398.386405331i</v>
      </c>
      <c r="AB160" s="9">
        <f>(Assumed_Efficiency/100)*Rout/'4. Current Sense Resistor'!$B$11</f>
        <v>135.14141414141415</v>
      </c>
      <c r="AD160" s="9" t="str">
        <f t="shared" si="40"/>
        <v>0.014902075475469-0.0400743388797774i</v>
      </c>
      <c r="AE160" s="9" t="str">
        <f t="shared" si="45"/>
        <v>0.606225221984129-1.27276410068429i</v>
      </c>
      <c r="AF160" s="9" t="str">
        <f t="shared" si="41"/>
        <v>-0.790886652948807-0.815189881386367i</v>
      </c>
      <c r="AG160" s="9">
        <f t="shared" si="36"/>
        <v>1.1357976230505529</v>
      </c>
      <c r="AH160" s="9">
        <f t="shared" si="37"/>
        <v>-2.3410635962421855</v>
      </c>
      <c r="AI160" s="9">
        <f t="shared" si="38"/>
        <v>-134.13306363639586</v>
      </c>
      <c r="AJ160" s="9">
        <f t="shared" si="39"/>
        <v>1.1060191095036795</v>
      </c>
      <c r="AL160" s="9" t="str">
        <f t="shared" si="42"/>
        <v>0.00116395532333673-0.0000965305380273985i</v>
      </c>
      <c r="AM160" s="9" t="str">
        <f t="shared" si="43"/>
        <v>0.981874746334191-0.123253433732282i</v>
      </c>
      <c r="AN160" s="9" t="str">
        <f t="shared" si="46"/>
        <v>-0.718492627635045+0.151353987576168i</v>
      </c>
      <c r="AO160" s="9">
        <f t="shared" si="47"/>
        <v>0.73426131964111951</v>
      </c>
      <c r="AP160" s="9">
        <f t="shared" si="48"/>
        <v>2.9339733100197285</v>
      </c>
      <c r="AQ160" s="9">
        <f t="shared" si="49"/>
        <v>168.10428786815871</v>
      </c>
      <c r="AR160" s="9">
        <f t="shared" si="50"/>
        <v>-2.6829869902188364</v>
      </c>
      <c r="AS160" s="9">
        <f t="shared" si="51"/>
        <v>-1.5769678807151568</v>
      </c>
      <c r="AT160" s="9">
        <f t="shared" si="52"/>
        <v>33.971224231762847</v>
      </c>
    </row>
    <row r="161" spans="25:46" x14ac:dyDescent="0.25">
      <c r="Y161" s="9">
        <v>159</v>
      </c>
      <c r="Z161" s="9">
        <f t="shared" si="44"/>
        <v>17669.572052398642</v>
      </c>
      <c r="AA161" s="9" t="str">
        <f t="shared" si="53"/>
        <v>111021.195503782i</v>
      </c>
      <c r="AB161" s="9">
        <f>(Assumed_Efficiency/100)*Rout/'4. Current Sense Resistor'!$B$11</f>
        <v>135.14141414141415</v>
      </c>
      <c r="AD161" s="9" t="str">
        <f t="shared" si="40"/>
        <v>0.0147136524892483-0.0376909699625982i</v>
      </c>
      <c r="AE161" s="9" t="str">
        <f t="shared" si="45"/>
        <v>0.559268723210627-1.33880206003532i</v>
      </c>
      <c r="AF161" s="9" t="str">
        <f t="shared" si="41"/>
        <v>-0.795799110110326-0.768404068532082i</v>
      </c>
      <c r="AG161" s="9">
        <f t="shared" si="36"/>
        <v>1.1062282929798186</v>
      </c>
      <c r="AH161" s="9">
        <f t="shared" si="37"/>
        <v>-2.3737064358900573</v>
      </c>
      <c r="AI161" s="9">
        <f t="shared" si="38"/>
        <v>-136.00336057954121</v>
      </c>
      <c r="AJ161" s="9">
        <f t="shared" si="39"/>
        <v>0.87689523648462497</v>
      </c>
      <c r="AL161" s="9" t="str">
        <f t="shared" si="42"/>
        <v>0.00116395424351799-0.0000907721482737073i</v>
      </c>
      <c r="AM161" s="9" t="str">
        <f t="shared" si="43"/>
        <v>0.979558789755265-0.130710183872148i</v>
      </c>
      <c r="AN161" s="9" t="str">
        <f t="shared" si="46"/>
        <v>-0.716800298348961+0.153142303063012i</v>
      </c>
      <c r="AO161" s="9">
        <f t="shared" si="47"/>
        <v>0.73297696600957574</v>
      </c>
      <c r="AP161" s="9">
        <f t="shared" si="48"/>
        <v>2.9311099803621952</v>
      </c>
      <c r="AQ161" s="9">
        <f t="shared" si="49"/>
        <v>167.9402311634274</v>
      </c>
      <c r="AR161" s="9">
        <f t="shared" si="50"/>
        <v>-2.6981934592133934</v>
      </c>
      <c r="AS161" s="9">
        <f t="shared" si="51"/>
        <v>-1.8212982227287684</v>
      </c>
      <c r="AT161" s="9">
        <f t="shared" si="52"/>
        <v>31.93687058388619</v>
      </c>
    </row>
    <row r="162" spans="25:46" x14ac:dyDescent="0.25">
      <c r="Y162" s="9">
        <v>160</v>
      </c>
      <c r="Z162" s="9">
        <f t="shared" si="44"/>
        <v>18790.49170052441</v>
      </c>
      <c r="AA162" s="9" t="str">
        <f t="shared" si="53"/>
        <v>118064.141367415i</v>
      </c>
      <c r="AB162" s="9">
        <f>(Assumed_Efficiency/100)*Rout/'4. Current Sense Resistor'!$B$11</f>
        <v>135.14141414141415</v>
      </c>
      <c r="AD162" s="9" t="str">
        <f t="shared" si="40"/>
        <v>0.0145469791345568-0.0354485651252282i</v>
      </c>
      <c r="AE162" s="9" t="str">
        <f t="shared" si="45"/>
        <v>0.507318610858493-1.40643236008105i</v>
      </c>
      <c r="AF162" s="9" t="str">
        <f t="shared" si="41"/>
        <v>-0.800400583469743-0.724404520104835i</v>
      </c>
      <c r="AG162" s="9">
        <f t="shared" si="36"/>
        <v>1.0795383285307758</v>
      </c>
      <c r="AH162" s="9">
        <f t="shared" si="37"/>
        <v>-2.4059931377604862</v>
      </c>
      <c r="AI162" s="9">
        <f t="shared" si="38"/>
        <v>-137.85325233111394</v>
      </c>
      <c r="AJ162" s="9">
        <f t="shared" si="39"/>
        <v>0.66476132754875805</v>
      </c>
      <c r="AL162" s="9" t="str">
        <f t="shared" si="42"/>
        <v>0.00116395328868673-0.000085357266928878i</v>
      </c>
      <c r="AM162" s="9" t="str">
        <f t="shared" si="43"/>
        <v>0.976955048049418-0.13856913757271i</v>
      </c>
      <c r="AN162" s="9" t="str">
        <f t="shared" si="46"/>
        <v>-0.71489784168783+0.155442631469575i</v>
      </c>
      <c r="AO162" s="9">
        <f t="shared" si="47"/>
        <v>0.73160189702330858</v>
      </c>
      <c r="AP162" s="9">
        <f t="shared" si="48"/>
        <v>2.9274918236357257</v>
      </c>
      <c r="AQ162" s="9">
        <f t="shared" si="49"/>
        <v>167.73292605338384</v>
      </c>
      <c r="AR162" s="9">
        <f t="shared" si="50"/>
        <v>-2.7145035416137042</v>
      </c>
      <c r="AS162" s="9">
        <f t="shared" si="51"/>
        <v>-2.0497422140649464</v>
      </c>
      <c r="AT162" s="9">
        <f t="shared" si="52"/>
        <v>29.879673722269899</v>
      </c>
    </row>
    <row r="163" spans="25:46" x14ac:dyDescent="0.25">
      <c r="Y163" s="9">
        <v>161</v>
      </c>
      <c r="Z163" s="9">
        <f t="shared" si="44"/>
        <v>19982.5200803064</v>
      </c>
      <c r="AA163" s="9" t="str">
        <f t="shared" si="53"/>
        <v>125553.876569002i</v>
      </c>
      <c r="AB163" s="9">
        <f>(Assumed_Efficiency/100)*Rout/'4. Current Sense Resistor'!$B$11</f>
        <v>135.14141414141415</v>
      </c>
      <c r="AD163" s="9" t="str">
        <f t="shared" si="40"/>
        <v>0.0143995509975786-0.0333389190658221i</v>
      </c>
      <c r="AE163" s="9" t="str">
        <f t="shared" si="45"/>
        <v>0.449992445858013-1.47534973466088i</v>
      </c>
      <c r="AF163" s="9" t="str">
        <f t="shared" si="41"/>
        <v>-0.804750063382279-0.683016056786803i</v>
      </c>
      <c r="AG163" s="9">
        <f t="shared" si="36"/>
        <v>1.0555252712949963</v>
      </c>
      <c r="AH163" s="9">
        <f t="shared" si="37"/>
        <v>-2.4378359652173192</v>
      </c>
      <c r="AI163" s="9">
        <f t="shared" si="38"/>
        <v>-139.67771195215374</v>
      </c>
      <c r="AJ163" s="9">
        <f t="shared" si="39"/>
        <v>0.46937271218345977</v>
      </c>
      <c r="AL163" s="9" t="str">
        <f t="shared" si="42"/>
        <v>0.0011639524443758-0.0000802654024976069i</v>
      </c>
      <c r="AM163" s="9" t="str">
        <f t="shared" si="43"/>
        <v>0.974029954363272-0.146842343347895i</v>
      </c>
      <c r="AN163" s="9" t="str">
        <f t="shared" si="46"/>
        <v>-0.712760730236811+0.158250755102408i</v>
      </c>
      <c r="AO163" s="9">
        <f t="shared" si="47"/>
        <v>0.73011722350468777</v>
      </c>
      <c r="AP163" s="9">
        <f t="shared" si="48"/>
        <v>2.9231115845752265</v>
      </c>
      <c r="AQ163" s="9">
        <f t="shared" si="49"/>
        <v>167.48195684195886</v>
      </c>
      <c r="AR163" s="9">
        <f t="shared" si="50"/>
        <v>-2.7321481281622879</v>
      </c>
      <c r="AS163" s="9">
        <f t="shared" si="51"/>
        <v>-2.2627754159788283</v>
      </c>
      <c r="AT163" s="9">
        <f t="shared" si="52"/>
        <v>27.804244889805119</v>
      </c>
    </row>
    <row r="164" spans="25:46" x14ac:dyDescent="0.25">
      <c r="Y164" s="9">
        <v>162</v>
      </c>
      <c r="Z164" s="9">
        <f t="shared" si="44"/>
        <v>21250.168176743602</v>
      </c>
      <c r="AA164" s="9" t="str">
        <f t="shared" si="53"/>
        <v>133518.744463211i</v>
      </c>
      <c r="AB164" s="9">
        <f>(Assumed_Efficiency/100)*Rout/'4. Current Sense Resistor'!$B$11</f>
        <v>135.14141414141415</v>
      </c>
      <c r="AD164" s="9" t="str">
        <f t="shared" si="40"/>
        <v>0.0142691507025737-0.031354281784846i</v>
      </c>
      <c r="AE164" s="9" t="str">
        <f t="shared" si="45"/>
        <v>0.386914388179806-1.54518216618205i</v>
      </c>
      <c r="AF164" s="9" t="str">
        <f t="shared" si="41"/>
        <v>-0.808900569265042-0.64407062490031i</v>
      </c>
      <c r="AG164" s="9">
        <f t="shared" si="36"/>
        <v>1.0339956967109607</v>
      </c>
      <c r="AH164" s="9">
        <f t="shared" si="37"/>
        <v>-2.4691549314220467</v>
      </c>
      <c r="AI164" s="9">
        <f t="shared" si="38"/>
        <v>-141.4721565343975</v>
      </c>
      <c r="AJ164" s="9">
        <f t="shared" si="39"/>
        <v>0.29037462624990945</v>
      </c>
      <c r="AL164" s="9" t="str">
        <f t="shared" si="42"/>
        <v>0.00116395169779265-0.0000754772858746815i</v>
      </c>
      <c r="AM164" s="9" t="str">
        <f t="shared" si="43"/>
        <v>0.970746614146923-0.155540188094592i</v>
      </c>
      <c r="AN164" s="9" t="str">
        <f t="shared" si="46"/>
        <v>-0.710362006996845+0.161562019160457i</v>
      </c>
      <c r="AO164" s="9">
        <f t="shared" si="47"/>
        <v>0.72850289431119597</v>
      </c>
      <c r="AP164" s="9">
        <f t="shared" si="48"/>
        <v>2.9179606361915229</v>
      </c>
      <c r="AQ164" s="9">
        <f t="shared" si="49"/>
        <v>167.18682923908293</v>
      </c>
      <c r="AR164" s="9">
        <f t="shared" si="50"/>
        <v>-2.7513743691390014</v>
      </c>
      <c r="AS164" s="9">
        <f t="shared" si="51"/>
        <v>-2.4609997428890917</v>
      </c>
      <c r="AT164" s="9">
        <f t="shared" si="52"/>
        <v>25.714672704685427</v>
      </c>
    </row>
    <row r="165" spans="25:46" x14ac:dyDescent="0.25">
      <c r="Y165" s="9">
        <v>163</v>
      </c>
      <c r="Z165" s="9">
        <f t="shared" si="44"/>
        <v>22598.233142021272</v>
      </c>
      <c r="AA165" s="9" t="str">
        <f t="shared" si="53"/>
        <v>141988.886446167i</v>
      </c>
      <c r="AB165" s="9">
        <f>(Assumed_Efficiency/100)*Rout/'4. Current Sense Resistor'!$B$11</f>
        <v>135.14141414141415</v>
      </c>
      <c r="AD165" s="9" t="str">
        <f t="shared" si="40"/>
        <v>0.0141538153056836-0.0294873371429i</v>
      </c>
      <c r="AE165" s="9" t="str">
        <f t="shared" si="45"/>
        <v>0.317725248548622-1.61548601459403i</v>
      </c>
      <c r="AF165" s="9" t="str">
        <f t="shared" si="41"/>
        <v>-0.812899532022537-0.607406730913161i</v>
      </c>
      <c r="AG165" s="9">
        <f t="shared" si="36"/>
        <v>1.0147652861233838</v>
      </c>
      <c r="AH165" s="9">
        <f t="shared" si="37"/>
        <v>-2.4998794808586267</v>
      </c>
      <c r="AI165" s="9">
        <f t="shared" si="38"/>
        <v>-143.23254354455457</v>
      </c>
      <c r="AJ165" s="9">
        <f t="shared" si="39"/>
        <v>0.12731204243801941</v>
      </c>
      <c r="AL165" s="9" t="str">
        <f t="shared" si="42"/>
        <v>0.00116395103762544-0.0000709747974251479i</v>
      </c>
      <c r="AM165" s="9" t="str">
        <f t="shared" si="43"/>
        <v>0.967064634018195-0.164670900557481i</v>
      </c>
      <c r="AN165" s="9" t="str">
        <f t="shared" si="46"/>
        <v>-0.707672160258857+0.165370922724957i</v>
      </c>
      <c r="AO165" s="9">
        <f t="shared" si="47"/>
        <v>0.72673752379269729</v>
      </c>
      <c r="AP165" s="9">
        <f t="shared" si="48"/>
        <v>2.9120291748949119</v>
      </c>
      <c r="AQ165" s="9">
        <f t="shared" si="49"/>
        <v>166.84698154044193</v>
      </c>
      <c r="AR165" s="9">
        <f t="shared" si="50"/>
        <v>-2.7724483041743153</v>
      </c>
      <c r="AS165" s="9">
        <f t="shared" si="51"/>
        <v>-2.6451362617362957</v>
      </c>
      <c r="AT165" s="9">
        <f t="shared" si="52"/>
        <v>23.614437995887357</v>
      </c>
    </row>
    <row r="166" spans="25:46" x14ac:dyDescent="0.25">
      <c r="Y166" s="9">
        <v>164</v>
      </c>
      <c r="Z166" s="9">
        <f t="shared" si="44"/>
        <v>24031.816449341983</v>
      </c>
      <c r="AA166" s="9" t="str">
        <f t="shared" si="53"/>
        <v>150996.356019342i</v>
      </c>
      <c r="AB166" s="9">
        <f>(Assumed_Efficiency/100)*Rout/'4. Current Sense Resistor'!$B$11</f>
        <v>135.14141414141415</v>
      </c>
      <c r="AD166" s="9" t="str">
        <f t="shared" si="40"/>
        <v>0.0140518073287604-0.0277311817446505i</v>
      </c>
      <c r="AE166" s="9" t="str">
        <f t="shared" si="45"/>
        <v>0.242094395119128-1.68574248492181i</v>
      </c>
      <c r="AF166" s="9" t="str">
        <f t="shared" si="41"/>
        <v>-0.816789055271604-0.572868915906425i</v>
      </c>
      <c r="AG166" s="9">
        <f t="shared" si="36"/>
        <v>0.9976588372902242</v>
      </c>
      <c r="AH166" s="9">
        <f t="shared" si="37"/>
        <v>-2.5299498068042241</v>
      </c>
      <c r="AI166" s="9">
        <f t="shared" si="38"/>
        <v>-144.95544630982005</v>
      </c>
      <c r="AJ166" s="9">
        <f t="shared" si="39"/>
        <v>-2.0358922006283777E-2</v>
      </c>
      <c r="AL166" s="9" t="str">
        <f t="shared" si="42"/>
        <v>0.00116395045387162-0.0000667408984143817i</v>
      </c>
      <c r="AM166" s="9" t="str">
        <f t="shared" si="43"/>
        <v>0.962939988569208-0.174239975917664i</v>
      </c>
      <c r="AN166" s="9" t="str">
        <f t="shared" si="46"/>
        <v>-0.704659026206425+0.16967065489932i</v>
      </c>
      <c r="AO166" s="9">
        <f t="shared" si="47"/>
        <v>0.72479823009452171</v>
      </c>
      <c r="AP166" s="9">
        <f t="shared" si="48"/>
        <v>2.9053064556093902</v>
      </c>
      <c r="AQ166" s="9">
        <f t="shared" si="49"/>
        <v>166.46179809853032</v>
      </c>
      <c r="AR166" s="9">
        <f t="shared" si="50"/>
        <v>-2.7956575169207061</v>
      </c>
      <c r="AS166" s="9">
        <f t="shared" si="51"/>
        <v>-2.8160164389269897</v>
      </c>
      <c r="AT166" s="9">
        <f t="shared" si="52"/>
        <v>21.506351788710276</v>
      </c>
    </row>
    <row r="167" spans="25:46" x14ac:dyDescent="0.25">
      <c r="Y167" s="9">
        <v>165</v>
      </c>
      <c r="Z167" s="9">
        <f t="shared" si="44"/>
        <v>25556.343198396022</v>
      </c>
      <c r="AA167" s="9" t="str">
        <f t="shared" si="53"/>
        <v>160575.240089401i</v>
      </c>
      <c r="AB167" s="9">
        <f>(Assumed_Efficiency/100)*Rout/'4. Current Sense Resistor'!$B$11</f>
        <v>135.14141414141415</v>
      </c>
      <c r="AD167" s="9" t="str">
        <f t="shared" si="40"/>
        <v>0.0139615890409235-0.0260793042872293i</v>
      </c>
      <c r="AE167" s="9" t="str">
        <f t="shared" si="45"/>
        <v>0.159733427881522-1.75535598577757i</v>
      </c>
      <c r="AF167" s="9" t="str">
        <f t="shared" si="41"/>
        <v>-0.820606065226406-0.540307286849143i</v>
      </c>
      <c r="AG167" s="9">
        <f t="shared" si="36"/>
        <v>0.98251019257239602</v>
      </c>
      <c r="AH167" s="9">
        <f t="shared" si="37"/>
        <v>-2.5593177658070827</v>
      </c>
      <c r="AI167" s="9">
        <f t="shared" si="38"/>
        <v>-146.63810641359709</v>
      </c>
      <c r="AJ167" s="9">
        <f t="shared" si="39"/>
        <v>-0.15325871106115194</v>
      </c>
      <c r="AL167" s="9" t="str">
        <f t="shared" si="42"/>
        <v>0.00116394993768648-0.0000627595665286003i</v>
      </c>
      <c r="AM167" s="9" t="str">
        <f t="shared" si="43"/>
        <v>0.958324941670867-0.184249516295145i</v>
      </c>
      <c r="AN167" s="9" t="str">
        <f t="shared" si="46"/>
        <v>-0.70128773133803+0.17445257212869i</v>
      </c>
      <c r="AO167" s="9">
        <f t="shared" si="47"/>
        <v>0.72266048878263478</v>
      </c>
      <c r="AP167" s="9">
        <f t="shared" si="48"/>
        <v>2.8977810723405542</v>
      </c>
      <c r="AQ167" s="9">
        <f t="shared" si="49"/>
        <v>166.03062539800766</v>
      </c>
      <c r="AR167" s="9">
        <f t="shared" si="50"/>
        <v>-2.8213137907308328</v>
      </c>
      <c r="AS167" s="9">
        <f t="shared" si="51"/>
        <v>-2.9745725017919846</v>
      </c>
      <c r="AT167" s="9">
        <f t="shared" si="52"/>
        <v>19.392518984410572</v>
      </c>
    </row>
    <row r="168" spans="25:46" x14ac:dyDescent="0.25">
      <c r="Y168" s="9">
        <v>166</v>
      </c>
      <c r="Z168" s="9">
        <f t="shared" si="44"/>
        <v>27177.582645530147</v>
      </c>
      <c r="AA168" s="9" t="str">
        <f t="shared" si="53"/>
        <v>170761.787963054i</v>
      </c>
      <c r="AB168" s="9">
        <f>(Assumed_Efficiency/100)*Rout/'4. Current Sense Resistor'!$B$11</f>
        <v>135.14141414141415</v>
      </c>
      <c r="AD168" s="9" t="str">
        <f t="shared" si="40"/>
        <v>0.0138817996346885-0.0245255654773341i</v>
      </c>
      <c r="AE168" s="9" t="str">
        <f t="shared" si="45"/>
        <v>0.0704113811776323-1.82365497503367i</v>
      </c>
      <c r="AF168" s="9" t="str">
        <f t="shared" si="41"/>
        <v>-0.82438236218632-0.509577121970559i</v>
      </c>
      <c r="AG168" s="9">
        <f t="shared" si="36"/>
        <v>0.96916207226639595</v>
      </c>
      <c r="AH168" s="9">
        <f t="shared" si="37"/>
        <v>-2.5879473729755507</v>
      </c>
      <c r="AI168" s="9">
        <f t="shared" si="38"/>
        <v>-148.27846207346778</v>
      </c>
      <c r="AJ168" s="9">
        <f t="shared" si="39"/>
        <v>-0.2720718025296619</v>
      </c>
      <c r="AL168" s="9" t="str">
        <f t="shared" si="42"/>
        <v>0.00116394948124902-0.0000590157352417879i</v>
      </c>
      <c r="AM168" s="9" t="str">
        <f t="shared" si="43"/>
        <v>0.953168042314699-0.19469748399556i</v>
      </c>
      <c r="AN168" s="9" t="str">
        <f t="shared" si="46"/>
        <v>-0.697520689344602+0.179705614228919i</v>
      </c>
      <c r="AO168" s="9">
        <f t="shared" si="47"/>
        <v>0.72029800766707786</v>
      </c>
      <c r="AP168" s="9">
        <f t="shared" si="48"/>
        <v>2.8894412900560651</v>
      </c>
      <c r="AQ168" s="9">
        <f t="shared" si="49"/>
        <v>165.55279107104846</v>
      </c>
      <c r="AR168" s="9">
        <f t="shared" si="50"/>
        <v>-2.8497557294666449</v>
      </c>
      <c r="AS168" s="9">
        <f t="shared" si="51"/>
        <v>-3.1218275319963067</v>
      </c>
      <c r="AT168" s="9">
        <f t="shared" si="52"/>
        <v>17.274328997580682</v>
      </c>
    </row>
    <row r="169" spans="25:46" x14ac:dyDescent="0.25">
      <c r="Y169" s="9">
        <v>167</v>
      </c>
      <c r="Z169" s="9">
        <f t="shared" si="44"/>
        <v>28901.670036305419</v>
      </c>
      <c r="AA169" s="9" t="str">
        <f t="shared" si="53"/>
        <v>181594.548525067i</v>
      </c>
      <c r="AB169" s="9">
        <f>(Assumed_Efficiency/100)*Rout/'4. Current Sense Resistor'!$B$11</f>
        <v>135.14141414141415</v>
      </c>
      <c r="AD169" s="9" t="str">
        <f t="shared" si="40"/>
        <v>0.0138112349794741-0.0230641785933534i</v>
      </c>
      <c r="AE169" s="9" t="str">
        <f t="shared" si="45"/>
        <v>-0.026028970131764-1.8898958927672i</v>
      </c>
      <c r="AF169" s="9" t="str">
        <f t="shared" si="41"/>
        <v>-0.828144590540197-0.480538567078064i</v>
      </c>
      <c r="AG169" s="9">
        <f t="shared" si="36"/>
        <v>0.95746580998510311</v>
      </c>
      <c r="AH169" s="9">
        <f t="shared" si="37"/>
        <v>-2.6158148832463088</v>
      </c>
      <c r="AI169" s="9">
        <f t="shared" si="38"/>
        <v>-149.87515279751969</v>
      </c>
      <c r="AJ169" s="9">
        <f t="shared" si="39"/>
        <v>-0.37753450488736523</v>
      </c>
      <c r="AL169" s="9" t="str">
        <f t="shared" si="42"/>
        <v>0.00116394907764354-0.0000554952367995942i</v>
      </c>
      <c r="AM169" s="9" t="str">
        <f t="shared" si="43"/>
        <v>0.947414218713983-0.205576867427454i</v>
      </c>
      <c r="AN169" s="9" t="str">
        <f t="shared" si="46"/>
        <v>-0.693317669768541+0.185415658925422i</v>
      </c>
      <c r="AO169" s="9">
        <f t="shared" si="47"/>
        <v>0.71768263026774459</v>
      </c>
      <c r="AP169" s="9">
        <f t="shared" si="48"/>
        <v>2.8802754339336953</v>
      </c>
      <c r="AQ169" s="9">
        <f t="shared" si="49"/>
        <v>165.02762619961251</v>
      </c>
      <c r="AR169" s="9">
        <f t="shared" si="50"/>
        <v>-2.8813512932763974</v>
      </c>
      <c r="AS169" s="9">
        <f t="shared" si="51"/>
        <v>-3.2588857981637624</v>
      </c>
      <c r="AT169" s="9">
        <f t="shared" si="52"/>
        <v>15.152473402092824</v>
      </c>
    </row>
    <row r="170" spans="25:46" x14ac:dyDescent="0.25">
      <c r="Y170" s="9">
        <v>168</v>
      </c>
      <c r="Z170" s="9">
        <f t="shared" si="44"/>
        <v>30735.129823066054</v>
      </c>
      <c r="AA170" s="9" t="str">
        <f t="shared" si="53"/>
        <v>193114.516118546i</v>
      </c>
      <c r="AB170" s="9">
        <f>(Assumed_Efficiency/100)*Rout/'4. Current Sense Resistor'!$B$11</f>
        <v>135.14141414141415</v>
      </c>
      <c r="AD170" s="9" t="str">
        <f t="shared" si="40"/>
        <v>0.0137488296681422-0.0216896907461091i</v>
      </c>
      <c r="AE170" s="9" t="str">
        <f t="shared" si="45"/>
        <v>-0.129654333345225-1.95327072936665i</v>
      </c>
      <c r="AF170" s="9" t="str">
        <f t="shared" si="41"/>
        <v>-0.831914148821899-0.453056437901783i</v>
      </c>
      <c r="AG170" s="9">
        <f t="shared" si="36"/>
        <v>0.94728099681895694</v>
      </c>
      <c r="AH170" s="9">
        <f t="shared" si="37"/>
        <v>-2.6429084825576457</v>
      </c>
      <c r="AI170" s="9">
        <f t="shared" si="38"/>
        <v>-151.42750168987786</v>
      </c>
      <c r="AJ170" s="9">
        <f t="shared" si="39"/>
        <v>-0.47042349773544045</v>
      </c>
      <c r="AL170" s="9" t="str">
        <f t="shared" si="42"/>
        <v>0.00116394872075483-0.0000521847486044422i</v>
      </c>
      <c r="AM170" s="9" t="str">
        <f t="shared" si="43"/>
        <v>0.941004998060526-0.216874764016929i</v>
      </c>
      <c r="AN170" s="9" t="str">
        <f t="shared" si="46"/>
        <v>-0.688635958453992+0.191564817925228i</v>
      </c>
      <c r="AO170" s="9">
        <f t="shared" si="47"/>
        <v>0.71478427706726588</v>
      </c>
      <c r="AP170" s="9">
        <f t="shared" si="48"/>
        <v>2.8702723419455509</v>
      </c>
      <c r="AQ170" s="9">
        <f t="shared" si="49"/>
        <v>164.45449124661073</v>
      </c>
      <c r="AR170" s="9">
        <f t="shared" si="50"/>
        <v>-2.9165001825899362</v>
      </c>
      <c r="AS170" s="9">
        <f t="shared" si="51"/>
        <v>-3.3869236803253768</v>
      </c>
      <c r="AT170" s="9">
        <f t="shared" si="52"/>
        <v>13.026989556732872</v>
      </c>
    </row>
    <row r="171" spans="25:46" x14ac:dyDescent="0.25">
      <c r="Y171" s="9">
        <v>169</v>
      </c>
      <c r="Z171" s="9">
        <f t="shared" si="44"/>
        <v>32684.900355380338</v>
      </c>
      <c r="AA171" s="9" t="str">
        <f t="shared" si="53"/>
        <v>205365.285679555i</v>
      </c>
      <c r="AB171" s="9">
        <f>(Assumed_Efficiency/100)*Rout/'4. Current Sense Resistor'!$B$11</f>
        <v>135.14141414141415</v>
      </c>
      <c r="AD171" s="9" t="str">
        <f t="shared" si="40"/>
        <v>0.0136936411021154-0.0203969648733891i</v>
      </c>
      <c r="AE171" s="9" t="str">
        <f t="shared" si="45"/>
        <v>-0.240424496418683-2.01291865337547i</v>
      </c>
      <c r="AF171" s="9" t="str">
        <f t="shared" si="41"/>
        <v>-0.835707066193991-0.427000140057631i</v>
      </c>
      <c r="AG171" s="9">
        <f t="shared" si="36"/>
        <v>0.93847505033208223</v>
      </c>
      <c r="AH171" s="9">
        <f t="shared" si="37"/>
        <v>-2.6692276284087688</v>
      </c>
      <c r="AI171" s="9">
        <f t="shared" si="38"/>
        <v>-152.93547766753645</v>
      </c>
      <c r="AJ171" s="9">
        <f t="shared" si="39"/>
        <v>-0.55154537501643619</v>
      </c>
      <c r="AL171" s="9" t="str">
        <f t="shared" si="42"/>
        <v>0.00116394840517546-0.0000490717427989442i</v>
      </c>
      <c r="AM171" s="9" t="str">
        <f t="shared" si="43"/>
        <v>0.933878882683537-0.228571390397937i</v>
      </c>
      <c r="AN171" s="9" t="str">
        <f t="shared" si="46"/>
        <v>-0.683430632245528+0.198130681900903i</v>
      </c>
      <c r="AO171" s="9">
        <f t="shared" si="47"/>
        <v>0.71157093546746208</v>
      </c>
      <c r="AP171" s="9">
        <f t="shared" si="48"/>
        <v>2.8594218862770409</v>
      </c>
      <c r="AQ171" s="9">
        <f t="shared" si="49"/>
        <v>163.83280593101128</v>
      </c>
      <c r="AR171" s="9">
        <f t="shared" si="50"/>
        <v>-2.9556359847775648</v>
      </c>
      <c r="AS171" s="9">
        <f t="shared" si="51"/>
        <v>-3.5071813597940009</v>
      </c>
      <c r="AT171" s="9">
        <f t="shared" si="52"/>
        <v>10.897328263474833</v>
      </c>
    </row>
    <row r="172" spans="25:46" x14ac:dyDescent="0.25">
      <c r="Y172" s="9">
        <v>170</v>
      </c>
      <c r="Z172" s="9">
        <f t="shared" si="44"/>
        <v>34758.360136790499</v>
      </c>
      <c r="AA172" s="9" t="str">
        <f t="shared" si="53"/>
        <v>218393.217713139i</v>
      </c>
      <c r="AB172" s="9">
        <f>(Assumed_Efficiency/100)*Rout/'4. Current Sense Resistor'!$B$11</f>
        <v>135.14141414141415</v>
      </c>
      <c r="AD172" s="9" t="str">
        <f t="shared" si="40"/>
        <v>0.0136448353876927-0.0191811624886127i</v>
      </c>
      <c r="AE172" s="9" t="str">
        <f t="shared" si="45"/>
        <v>-0.358177345497657-2.06794191904296i</v>
      </c>
      <c r="AF172" s="9" t="str">
        <f t="shared" si="41"/>
        <v>-0.839533876166807-0.40224371273579i</v>
      </c>
      <c r="AG172" s="9">
        <f t="shared" si="36"/>
        <v>0.93092273238284196</v>
      </c>
      <c r="AH172" s="9">
        <f t="shared" si="37"/>
        <v>-2.6947820915629563</v>
      </c>
      <c r="AI172" s="9">
        <f t="shared" si="38"/>
        <v>-154.39964055399398</v>
      </c>
      <c r="AJ172" s="9">
        <f t="shared" si="39"/>
        <v>-0.62172728890919338</v>
      </c>
      <c r="AL172" s="9" t="str">
        <f t="shared" si="42"/>
        <v>0.00116394812612395-0.000046144438856848i</v>
      </c>
      <c r="AM172" s="9" t="str">
        <f t="shared" si="43"/>
        <v>0.925971915933233-0.240639037869005i</v>
      </c>
      <c r="AN172" s="9" t="str">
        <f t="shared" si="46"/>
        <v>-0.677654972274308+0.205085527406156i</v>
      </c>
      <c r="AO172" s="9">
        <f t="shared" si="47"/>
        <v>0.70800871110428742</v>
      </c>
      <c r="AP172" s="9">
        <f t="shared" si="48"/>
        <v>2.8477155681075672</v>
      </c>
      <c r="AQ172" s="9">
        <f t="shared" si="49"/>
        <v>163.16208330626313</v>
      </c>
      <c r="AR172" s="9">
        <f t="shared" si="50"/>
        <v>-2.9992279772427639</v>
      </c>
      <c r="AS172" s="9">
        <f t="shared" si="51"/>
        <v>-3.6209552661519573</v>
      </c>
      <c r="AT172" s="9">
        <f t="shared" si="52"/>
        <v>8.7624427522691519</v>
      </c>
    </row>
    <row r="173" spans="25:46" x14ac:dyDescent="0.25">
      <c r="Y173" s="9">
        <v>171</v>
      </c>
      <c r="Z173" s="9">
        <f t="shared" si="44"/>
        <v>36963.355747234389</v>
      </c>
      <c r="AA173" s="9" t="str">
        <f t="shared" si="53"/>
        <v>232247.613735075i</v>
      </c>
      <c r="AB173" s="9">
        <f>(Assumed_Efficiency/100)*Rout/'4. Current Sense Resistor'!$B$11</f>
        <v>135.14141414141415</v>
      </c>
      <c r="AD173" s="9" t="str">
        <f t="shared" si="40"/>
        <v>0.0136016748406389-0.0180377271921093i</v>
      </c>
      <c r="AE173" s="9" t="str">
        <f t="shared" si="45"/>
        <v>-0.482616491247718-2.11742598625887i</v>
      </c>
      <c r="AF173" s="9" t="str">
        <f t="shared" si="41"/>
        <v>-0.843399521573845-0.378665994694173i</v>
      </c>
      <c r="AG173" s="9">
        <f t="shared" si="36"/>
        <v>0.92450564548233993</v>
      </c>
      <c r="AH173" s="9">
        <f t="shared" si="37"/>
        <v>-2.7195907598797273</v>
      </c>
      <c r="AI173" s="9">
        <f t="shared" si="38"/>
        <v>-155.82107254388487</v>
      </c>
      <c r="AJ173" s="9">
        <f t="shared" si="39"/>
        <v>-0.68180864965609889</v>
      </c>
      <c r="AL173" s="9" t="str">
        <f t="shared" si="42"/>
        <v>0.00116394787937226-0.0000433917590020942i</v>
      </c>
      <c r="AM173" s="9" t="str">
        <f t="shared" si="43"/>
        <v>0.917218472313032-0.253041000705165i</v>
      </c>
      <c r="AN173" s="9" t="str">
        <f t="shared" si="46"/>
        <v>-0.671261041047962+0.212395505760776i</v>
      </c>
      <c r="AO173" s="9">
        <f t="shared" si="47"/>
        <v>0.70406195472853772</v>
      </c>
      <c r="AP173" s="9">
        <f t="shared" si="48"/>
        <v>2.8351471886758235</v>
      </c>
      <c r="AQ173" s="9">
        <f t="shared" si="49"/>
        <v>162.44196820950518</v>
      </c>
      <c r="AR173" s="9">
        <f t="shared" si="50"/>
        <v>-3.0477824588379034</v>
      </c>
      <c r="AS173" s="9">
        <f t="shared" si="51"/>
        <v>-3.7295911084940023</v>
      </c>
      <c r="AT173" s="9">
        <f t="shared" si="52"/>
        <v>6.62089566562031</v>
      </c>
    </row>
    <row r="174" spans="25:46" x14ac:dyDescent="0.25">
      <c r="Y174" s="9">
        <v>172</v>
      </c>
      <c r="Z174" s="9">
        <f t="shared" si="44"/>
        <v>39308.231536804677</v>
      </c>
      <c r="AA174" s="9" t="str">
        <f t="shared" si="53"/>
        <v>246980.902843264i</v>
      </c>
      <c r="AB174" s="9">
        <f>(Assumed_Efficiency/100)*Rout/'4. Current Sense Resistor'!$B$11</f>
        <v>135.14141414141415</v>
      </c>
      <c r="AD174" s="9" t="str">
        <f t="shared" si="40"/>
        <v>0.0135635069181581-0.0169623689440982i</v>
      </c>
      <c r="AE174" s="9" t="str">
        <f t="shared" si="45"/>
        <v>-0.613302755588905-2.16046342687925i</v>
      </c>
      <c r="AF174" s="9" t="str">
        <f t="shared" si="41"/>
        <v>-0.847303325924892-0.356150901845776i</v>
      </c>
      <c r="AG174" s="9">
        <f t="shared" si="36"/>
        <v>0.91911174021929642</v>
      </c>
      <c r="AH174" s="9">
        <f t="shared" si="37"/>
        <v>-2.7436802717268742</v>
      </c>
      <c r="AI174" s="9">
        <f t="shared" si="38"/>
        <v>-157.2012999032568</v>
      </c>
      <c r="AJ174" s="9">
        <f t="shared" si="39"/>
        <v>-0.73263372852058528</v>
      </c>
      <c r="AL174" s="9" t="str">
        <f t="shared" si="42"/>
        <v>0.00116394766118172-0.0000408032862872826i</v>
      </c>
      <c r="AM174" s="9" t="str">
        <f t="shared" si="43"/>
        <v>0.907552305452521-0.26573051636802i</v>
      </c>
      <c r="AN174" s="9" t="str">
        <f t="shared" si="46"/>
        <v>-0.664200447880389+0.22001984231584i</v>
      </c>
      <c r="AO174" s="9">
        <f t="shared" si="47"/>
        <v>0.69969348001621146</v>
      </c>
      <c r="AP174" s="9">
        <f t="shared" si="48"/>
        <v>2.8217135971814273</v>
      </c>
      <c r="AQ174" s="9">
        <f t="shared" si="49"/>
        <v>161.67228011317346</v>
      </c>
      <c r="AR174" s="9">
        <f t="shared" si="50"/>
        <v>-3.1018434594783342</v>
      </c>
      <c r="AS174" s="9">
        <f t="shared" si="51"/>
        <v>-3.8344771879989192</v>
      </c>
      <c r="AT174" s="9">
        <f t="shared" si="52"/>
        <v>4.4709802099166609</v>
      </c>
    </row>
    <row r="175" spans="25:46" x14ac:dyDescent="0.25">
      <c r="Y175" s="9">
        <v>173</v>
      </c>
      <c r="Z175" s="9">
        <f t="shared" si="44"/>
        <v>41801.861203217486</v>
      </c>
      <c r="AA175" s="9" t="str">
        <f t="shared" si="53"/>
        <v>262648.840124816i</v>
      </c>
      <c r="AB175" s="9">
        <f>(Assumed_Efficiency/100)*Rout/'4. Current Sense Resistor'!$B$11</f>
        <v>135.14141414141415</v>
      </c>
      <c r="AD175" s="9" t="str">
        <f t="shared" si="40"/>
        <v>0.0135297544171522-0.0159510490910811i</v>
      </c>
      <c r="AE175" s="9" t="str">
        <f t="shared" si="45"/>
        <v>-0.7496507144443-2.19618078817566i</v>
      </c>
      <c r="AF175" s="9" t="str">
        <f t="shared" si="41"/>
        <v>-0.851239064397513-0.334587795349348i</v>
      </c>
      <c r="AG175" s="9">
        <f t="shared" si="36"/>
        <v>0.9146348656994715</v>
      </c>
      <c r="AH175" s="9">
        <f t="shared" si="37"/>
        <v>-2.7670835502712809</v>
      </c>
      <c r="AI175" s="9">
        <f t="shared" si="38"/>
        <v>-158.54220899062037</v>
      </c>
      <c r="AJ175" s="9">
        <f t="shared" si="39"/>
        <v>-0.775044948407419</v>
      </c>
      <c r="AL175" s="9" t="str">
        <f t="shared" si="42"/>
        <v>0.00116394746824642-0.0000383692251729066i</v>
      </c>
      <c r="AM175" s="9" t="str">
        <f t="shared" si="43"/>
        <v>0.896907883552312-0.278649769699375i</v>
      </c>
      <c r="AN175" s="9" t="str">
        <f t="shared" si="46"/>
        <v>-0.656425324304255+0.227910084043178i</v>
      </c>
      <c r="AO175" s="9">
        <f t="shared" si="47"/>
        <v>0.69486488815921243</v>
      </c>
      <c r="AP175" s="9">
        <f t="shared" si="48"/>
        <v>2.8074155128108678</v>
      </c>
      <c r="AQ175" s="9">
        <f t="shared" si="49"/>
        <v>160.85306022361843</v>
      </c>
      <c r="AR175" s="9">
        <f t="shared" si="50"/>
        <v>-3.1619926573007051</v>
      </c>
      <c r="AS175" s="9">
        <f t="shared" si="51"/>
        <v>-3.9370376057081242</v>
      </c>
      <c r="AT175" s="9">
        <f t="shared" si="52"/>
        <v>2.3108512329980613</v>
      </c>
    </row>
    <row r="176" spans="25:46" x14ac:dyDescent="0.25">
      <c r="Y176" s="9">
        <v>174</v>
      </c>
      <c r="Z176" s="9">
        <f t="shared" si="44"/>
        <v>44453.681372487059</v>
      </c>
      <c r="AA176" s="9" t="str">
        <f t="shared" si="53"/>
        <v>279310.717649654i</v>
      </c>
      <c r="AB176" s="9">
        <f>(Assumed_Efficiency/100)*Rout/'4. Current Sense Resistor'!$B$11</f>
        <v>135.14141414141415</v>
      </c>
      <c r="AD176" s="9" t="str">
        <f t="shared" si="40"/>
        <v>0.0134999067954188-0.0149999661316602i</v>
      </c>
      <c r="AE176" s="9" t="str">
        <f t="shared" si="45"/>
        <v>-0.890931294261012-2.22376717869774i</v>
      </c>
      <c r="AF176" s="9" t="str">
        <f t="shared" si="41"/>
        <v>-0.8551951622901-0.313871908720832i</v>
      </c>
      <c r="AG176" s="9">
        <f t="shared" si="36"/>
        <v>0.91097439079726517</v>
      </c>
      <c r="AH176" s="9">
        <f t="shared" si="37"/>
        <v>-2.7898383110727973</v>
      </c>
      <c r="AI176" s="9">
        <f t="shared" si="38"/>
        <v>-159.84596074837697</v>
      </c>
      <c r="AJ176" s="9">
        <f t="shared" si="39"/>
        <v>-0.80987663379495201</v>
      </c>
      <c r="AL176" s="9" t="str">
        <f t="shared" si="42"/>
        <v>0.00116394729764311-0.0000360803644581721i</v>
      </c>
      <c r="AM176" s="9" t="str">
        <f t="shared" si="43"/>
        <v>0.885222033960741-0.291729027210551i</v>
      </c>
      <c r="AN176" s="9" t="str">
        <f t="shared" si="46"/>
        <v>-0.647889525286702+0.236009443644518i</v>
      </c>
      <c r="AO176" s="9">
        <f t="shared" si="47"/>
        <v>0.68953701457254857</v>
      </c>
      <c r="AP176" s="9">
        <f t="shared" si="48"/>
        <v>2.7922584139252393</v>
      </c>
      <c r="AQ176" s="9">
        <f t="shared" si="49"/>
        <v>159.98462242780946</v>
      </c>
      <c r="AR176" s="9">
        <f t="shared" si="50"/>
        <v>-3.2288483158499819</v>
      </c>
      <c r="AS176" s="9">
        <f t="shared" si="51"/>
        <v>-4.0387249496449336</v>
      </c>
      <c r="AT176" s="9">
        <f t="shared" si="52"/>
        <v>0.13866167943248797</v>
      </c>
    </row>
    <row r="177" spans="25:46" x14ac:dyDescent="0.25">
      <c r="Y177" s="9">
        <v>175</v>
      </c>
      <c r="Z177" s="9">
        <f t="shared" si="44"/>
        <v>47273.727309885995</v>
      </c>
      <c r="AA177" s="9" t="str">
        <f t="shared" si="53"/>
        <v>297029.58884909i</v>
      </c>
      <c r="AB177" s="9">
        <f>(Assumed_Efficiency/100)*Rout/'4. Current Sense Resistor'!$B$11</f>
        <v>135.14141414141415</v>
      </c>
      <c r="AD177" s="9" t="str">
        <f t="shared" si="40"/>
        <v>0.013473512488334-0.014105542203457i</v>
      </c>
      <c r="AE177" s="9" t="str">
        <f t="shared" si="45"/>
        <v>-1.03628107319978-2.2425029889591i</v>
      </c>
      <c r="AF177" s="9" t="str">
        <f t="shared" si="41"/>
        <v>-0.859155039559702-0.293904793468981i</v>
      </c>
      <c r="AG177" s="9">
        <f t="shared" si="36"/>
        <v>0.90803491652297019</v>
      </c>
      <c r="AH177" s="9">
        <f t="shared" si="37"/>
        <v>-2.8119856134801098</v>
      </c>
      <c r="AI177" s="9">
        <f t="shared" si="38"/>
        <v>-161.11490770391592</v>
      </c>
      <c r="AJ177" s="9">
        <f t="shared" si="39"/>
        <v>-0.83794902601664578</v>
      </c>
      <c r="AL177" s="9" t="str">
        <f t="shared" si="42"/>
        <v>0.00116394714678688-0.0000339280424231245i</v>
      </c>
      <c r="AM177" s="9" t="str">
        <f t="shared" si="43"/>
        <v>0.872435905600214-0.304885981553083i</v>
      </c>
      <c r="AN177" s="9" t="str">
        <f t="shared" si="46"/>
        <v>-0.638550062615508+0.244252298588203i</v>
      </c>
      <c r="AO177" s="9">
        <f t="shared" si="47"/>
        <v>0.6836705111615462</v>
      </c>
      <c r="AP177" s="9">
        <f t="shared" si="48"/>
        <v>2.7762534821728666</v>
      </c>
      <c r="AQ177" s="9">
        <f t="shared" si="49"/>
        <v>159.06760738700359</v>
      </c>
      <c r="AR177" s="9">
        <f t="shared" si="50"/>
        <v>-3.3030630433920631</v>
      </c>
      <c r="AS177" s="9">
        <f t="shared" si="51"/>
        <v>-4.1410120694087089</v>
      </c>
      <c r="AT177" s="9">
        <f t="shared" si="52"/>
        <v>-2.0473003169123274</v>
      </c>
    </row>
    <row r="178" spans="25:46" x14ac:dyDescent="0.25">
      <c r="Y178" s="9">
        <v>176</v>
      </c>
      <c r="Z178" s="9">
        <f t="shared" si="44"/>
        <v>50272.670896332245</v>
      </c>
      <c r="AA178" s="9" t="str">
        <f t="shared" si="53"/>
        <v>315872.50712851i</v>
      </c>
      <c r="AB178" s="9">
        <f>(Assumed_Efficiency/100)*Rout/'4. Current Sense Resistor'!$B$11</f>
        <v>135.14141414141415</v>
      </c>
      <c r="AD178" s="9" t="str">
        <f t="shared" si="40"/>
        <v>0.0134501721077704-0.0132644102695925i</v>
      </c>
      <c r="AE178" s="9" t="str">
        <f t="shared" si="45"/>
        <v>-1.18471845806786-2.25178691860823i</v>
      </c>
      <c r="AF178" s="9" t="str">
        <f t="shared" si="41"/>
        <v>-0.863097607512032-0.274594736637103i</v>
      </c>
      <c r="AG178" s="9">
        <f t="shared" si="36"/>
        <v>0.90572608965503121</v>
      </c>
      <c r="AH178" s="9">
        <f t="shared" si="37"/>
        <v>-2.8335685209482189</v>
      </c>
      <c r="AI178" s="9">
        <f t="shared" si="38"/>
        <v>-162.35151721145994</v>
      </c>
      <c r="AJ178" s="9">
        <f t="shared" si="39"/>
        <v>-0.86006244242815666</v>
      </c>
      <c r="AL178" s="9" t="str">
        <f t="shared" si="42"/>
        <v>0.00116394701339205-0.0000319041140501697i</v>
      </c>
      <c r="AM178" s="9" t="str">
        <f t="shared" si="43"/>
        <v>0.858497239271125-0.318025398630519i</v>
      </c>
      <c r="AN178" s="9" t="str">
        <f t="shared" si="46"/>
        <v>-0.62836876317146+0.252563912524972i</v>
      </c>
      <c r="AO178" s="9">
        <f t="shared" si="47"/>
        <v>0.67722657393190944</v>
      </c>
      <c r="AP178" s="9">
        <f t="shared" si="48"/>
        <v>2.7594185830478271</v>
      </c>
      <c r="AQ178" s="9">
        <f t="shared" si="49"/>
        <v>158.10303871861035</v>
      </c>
      <c r="AR178" s="9">
        <f t="shared" si="50"/>
        <v>-3.3853201758940958</v>
      </c>
      <c r="AS178" s="9">
        <f t="shared" si="51"/>
        <v>-4.2453826183222523</v>
      </c>
      <c r="AT178" s="9">
        <f t="shared" si="52"/>
        <v>-4.2484784928495856</v>
      </c>
    </row>
    <row r="179" spans="25:46" x14ac:dyDescent="0.25">
      <c r="Y179" s="9">
        <v>177</v>
      </c>
      <c r="Z179" s="9">
        <f t="shared" si="44"/>
        <v>53461.861013916772</v>
      </c>
      <c r="AA179" s="9" t="str">
        <f t="shared" si="53"/>
        <v>335910.779617119i</v>
      </c>
      <c r="AB179" s="9">
        <f>(Assumed_Efficiency/100)*Rout/'4. Current Sense Resistor'!$B$11</f>
        <v>135.14141414141415</v>
      </c>
      <c r="AD179" s="9" t="str">
        <f t="shared" si="40"/>
        <v>0.0134295324226767-0.0124734019808786i</v>
      </c>
      <c r="AE179" s="9" t="str">
        <f t="shared" si="45"/>
        <v>-1.33516633721107-2.25115940674089i</v>
      </c>
      <c r="AF179" s="9" t="str">
        <f t="shared" si="41"/>
        <v>-0.86699790886508-0.255857101769098i</v>
      </c>
      <c r="AG179" s="9">
        <f t="shared" si="36"/>
        <v>0.9039625160935072</v>
      </c>
      <c r="AH179" s="9">
        <f t="shared" si="37"/>
        <v>-2.8546309263070313</v>
      </c>
      <c r="AI179" s="9">
        <f t="shared" si="38"/>
        <v>-163.55830414491362</v>
      </c>
      <c r="AJ179" s="9">
        <f t="shared" si="39"/>
        <v>-0.87699155401620121</v>
      </c>
      <c r="AL179" s="9" t="str">
        <f t="shared" si="42"/>
        <v>0.00116394689543747-0.0000300009202009471i</v>
      </c>
      <c r="AM179" s="9" t="str">
        <f t="shared" si="43"/>
        <v>0.843362911060343-0.331039168507924i</v>
      </c>
      <c r="AN179" s="9" t="str">
        <f t="shared" si="46"/>
        <v>-0.6173141266872+0.260860452891772i</v>
      </c>
      <c r="AO179" s="9">
        <f t="shared" si="47"/>
        <v>0.67016781994548269</v>
      </c>
      <c r="AP179" s="9">
        <f t="shared" si="48"/>
        <v>2.741779257390673</v>
      </c>
      <c r="AQ179" s="9">
        <f t="shared" si="49"/>
        <v>157.09237980499859</v>
      </c>
      <c r="AR179" s="9">
        <f t="shared" si="50"/>
        <v>-3.4763285982226106</v>
      </c>
      <c r="AS179" s="9">
        <f t="shared" si="51"/>
        <v>-4.3533201522388119</v>
      </c>
      <c r="AT179" s="9">
        <f t="shared" si="52"/>
        <v>-6.4659243399150341</v>
      </c>
    </row>
    <row r="180" spans="25:46" x14ac:dyDescent="0.25">
      <c r="Y180" s="9">
        <v>178</v>
      </c>
      <c r="Z180" s="9">
        <f t="shared" si="44"/>
        <v>56853.366493401947</v>
      </c>
      <c r="AA180" s="9" t="str">
        <f t="shared" si="53"/>
        <v>357220.237015039i</v>
      </c>
      <c r="AB180" s="9">
        <f>(Assumed_Efficiency/100)*Rout/'4. Current Sense Resistor'!$B$11</f>
        <v>135.14141414141415</v>
      </c>
      <c r="AD180" s="9" t="str">
        <f t="shared" si="40"/>
        <v>0.013411281032053-0.0117295361882991i</v>
      </c>
      <c r="AE180" s="9" t="str">
        <f t="shared" si="45"/>
        <v>-1.48648021265402-2.2403206882454i</v>
      </c>
      <c r="AF180" s="9" t="str">
        <f t="shared" si="41"/>
        <v>-0.870827876926425-0.237614548115159i</v>
      </c>
      <c r="AG180" s="9">
        <f t="shared" si="36"/>
        <v>0.90266376060422193</v>
      </c>
      <c r="AH180" s="9">
        <f t="shared" si="37"/>
        <v>-2.8752165853321974</v>
      </c>
      <c r="AI180" s="9">
        <f t="shared" si="38"/>
        <v>-164.73777552555103</v>
      </c>
      <c r="AJ180" s="9">
        <f t="shared" si="39"/>
        <v>-0.88947985769644855</v>
      </c>
      <c r="AL180" s="9" t="str">
        <f t="shared" si="42"/>
        <v>0.00116394679113597-0.00002821125863191i</v>
      </c>
      <c r="AM180" s="9" t="str">
        <f t="shared" si="43"/>
        <v>0.827001683499145-0.343806863758091i</v>
      </c>
      <c r="AN180" s="9" t="str">
        <f t="shared" si="46"/>
        <v>-0.60536333525504+0.269049380330523i</v>
      </c>
      <c r="AO180" s="9">
        <f t="shared" si="47"/>
        <v>0.66245930948802012</v>
      </c>
      <c r="AP180" s="9">
        <f t="shared" si="48"/>
        <v>2.7233696908723655</v>
      </c>
      <c r="AQ180" s="9">
        <f t="shared" si="49"/>
        <v>156.03758934083422</v>
      </c>
      <c r="AR180" s="9">
        <f t="shared" si="50"/>
        <v>-3.5768158484279073</v>
      </c>
      <c r="AS180" s="9">
        <f t="shared" si="51"/>
        <v>-4.466295706124356</v>
      </c>
      <c r="AT180" s="9">
        <f t="shared" si="52"/>
        <v>-8.7001861847168129</v>
      </c>
    </row>
    <row r="181" spans="25:46" x14ac:dyDescent="0.25">
      <c r="Y181" s="9">
        <v>179</v>
      </c>
      <c r="Z181" s="9">
        <f t="shared" si="44"/>
        <v>60460.02178621637</v>
      </c>
      <c r="AA181" s="9" t="str">
        <f t="shared" si="53"/>
        <v>379881.520558912i</v>
      </c>
      <c r="AB181" s="9">
        <f>(Assumed_Efficiency/100)*Rout/'4. Current Sense Resistor'!$B$11</f>
        <v>135.14141414141415</v>
      </c>
      <c r="AD181" s="9" t="str">
        <f t="shared" si="40"/>
        <v>0.0133951416511249-0.0110300080793822i</v>
      </c>
      <c r="AE181" s="9" t="str">
        <f t="shared" si="45"/>
        <v>-1.63748027084532-2.21914203348149i</v>
      </c>
      <c r="AF181" s="9" t="str">
        <f t="shared" si="41"/>
        <v>-0.874557175521312-0.219797091527524i</v>
      </c>
      <c r="AG181" s="9">
        <f t="shared" si="36"/>
        <v>0.90175440930431472</v>
      </c>
      <c r="AH181" s="9">
        <f t="shared" si="37"/>
        <v>-2.8953683863572239</v>
      </c>
      <c r="AI181" s="9">
        <f t="shared" si="38"/>
        <v>-165.89238867387246</v>
      </c>
      <c r="AJ181" s="9">
        <f t="shared" si="39"/>
        <v>-0.89823450873423827</v>
      </c>
      <c r="AL181" s="9" t="str">
        <f t="shared" si="42"/>
        <v>0.00116394669890722-0.00002652835673893i</v>
      </c>
      <c r="AM181" s="9" t="str">
        <f t="shared" si="43"/>
        <v>0.80939706407484-0.356196902360884i</v>
      </c>
      <c r="AN181" s="9" t="str">
        <f t="shared" si="46"/>
        <v>-0.592504341251278+0.277030280788824i</v>
      </c>
      <c r="AO181" s="9">
        <f t="shared" si="47"/>
        <v>0.65406969879023269</v>
      </c>
      <c r="AP181" s="9">
        <f t="shared" si="48"/>
        <v>2.7042336211610722</v>
      </c>
      <c r="AQ181" s="9">
        <f t="shared" si="49"/>
        <v>154.94117330990898</v>
      </c>
      <c r="AR181" s="9">
        <f t="shared" si="50"/>
        <v>-3.687519400880551</v>
      </c>
      <c r="AS181" s="9">
        <f t="shared" si="51"/>
        <v>-4.5857539096147892</v>
      </c>
      <c r="AT181" s="9">
        <f t="shared" si="52"/>
        <v>-10.951215363963485</v>
      </c>
    </row>
    <row r="182" spans="25:46" x14ac:dyDescent="0.25">
      <c r="Y182" s="9">
        <v>180</v>
      </c>
      <c r="Z182" s="9">
        <f t="shared" si="44"/>
        <v>64295.47553378361</v>
      </c>
      <c r="AA182" s="9" t="str">
        <f t="shared" si="53"/>
        <v>403980.387191994i</v>
      </c>
      <c r="AB182" s="9">
        <f>(Assumed_Efficiency/100)*Rout/'4. Current Sense Resistor'!$B$11</f>
        <v>135.14141414141415</v>
      </c>
      <c r="AD182" s="9" t="str">
        <f t="shared" si="40"/>
        <v>0.0133808699404774-0.0103721789115604i</v>
      </c>
      <c r="AE182" s="9" t="str">
        <f t="shared" si="45"/>
        <v>-1.78698543972401-2.18766924404391i</v>
      </c>
      <c r="AF182" s="9" t="str">
        <f t="shared" si="41"/>
        <v>-0.878154070605161-0.202341983778963i</v>
      </c>
      <c r="AG182" s="9">
        <f t="shared" si="36"/>
        <v>0.90116416380147979</v>
      </c>
      <c r="AH182" s="9">
        <f t="shared" si="37"/>
        <v>-2.9151278663273477</v>
      </c>
      <c r="AI182" s="9">
        <f t="shared" si="38"/>
        <v>-167.02452348153383</v>
      </c>
      <c r="AJ182" s="9">
        <f t="shared" si="39"/>
        <v>-0.90392174004532311</v>
      </c>
      <c r="AL182" s="9" t="str">
        <f t="shared" si="42"/>
        <v>0.00116394661735382-0.0000249458459277811i</v>
      </c>
      <c r="AM182" s="9" t="str">
        <f t="shared" si="43"/>
        <v>0.790550133769217-0.368068394077151i</v>
      </c>
      <c r="AN182" s="9" t="str">
        <f t="shared" si="46"/>
        <v>-0.578737933369257+0.284696197883669i</v>
      </c>
      <c r="AO182" s="9">
        <f t="shared" si="47"/>
        <v>0.64497249601043893</v>
      </c>
      <c r="AP182" s="9">
        <f t="shared" si="48"/>
        <v>2.6844251359868814</v>
      </c>
      <c r="AQ182" s="9">
        <f t="shared" si="49"/>
        <v>153.80623071088039</v>
      </c>
      <c r="AR182" s="9">
        <f t="shared" si="50"/>
        <v>-3.8091760975451483</v>
      </c>
      <c r="AS182" s="9">
        <f t="shared" si="51"/>
        <v>-4.7130978375904711</v>
      </c>
      <c r="AT182" s="9">
        <f t="shared" si="52"/>
        <v>-13.218292770653449</v>
      </c>
    </row>
    <row r="183" spans="25:46" x14ac:dyDescent="0.25">
      <c r="Y183" s="9">
        <v>181</v>
      </c>
      <c r="Z183" s="9">
        <f t="shared" si="44"/>
        <v>68374.242217984312</v>
      </c>
      <c r="AA183" s="9" t="str">
        <f t="shared" si="53"/>
        <v>429608.034093577i</v>
      </c>
      <c r="AB183" s="9">
        <f>(Assumed_Efficiency/100)*Rout/'4. Current Sense Resistor'!$B$11</f>
        <v>135.14141414141415</v>
      </c>
      <c r="AD183" s="9" t="str">
        <f t="shared" si="40"/>
        <v>0.0133682498158834-0.00975356631549077i</v>
      </c>
      <c r="AE183" s="9" t="str">
        <f t="shared" si="45"/>
        <v>-1.93384726420691-2.14611811443871i</v>
      </c>
      <c r="AF183" s="9" t="str">
        <f t="shared" si="41"/>
        <v>-0.881586278816053-0.18519340345373i</v>
      </c>
      <c r="AG183" s="9">
        <f t="shared" si="36"/>
        <v>0.90082793233753111</v>
      </c>
      <c r="AH183" s="9">
        <f t="shared" si="37"/>
        <v>-2.9345349662514639</v>
      </c>
      <c r="AI183" s="9">
        <f t="shared" si="38"/>
        <v>-168.13646839977437</v>
      </c>
      <c r="AJ183" s="9">
        <f t="shared" si="39"/>
        <v>-0.90716311877151523</v>
      </c>
      <c r="AL183" s="9" t="str">
        <f t="shared" si="42"/>
        <v>0.0011639465452401-0.0000234577375135151i</v>
      </c>
      <c r="AM183" s="9" t="str">
        <f t="shared" si="43"/>
        <v>0.77048217340702-0.37927371735349i</v>
      </c>
      <c r="AN183" s="9" t="str">
        <f t="shared" si="46"/>
        <v>-0.564079654968606+0.291935499837833i</v>
      </c>
      <c r="AO183" s="9">
        <f t="shared" si="47"/>
        <v>0.63514737912949537</v>
      </c>
      <c r="AP183" s="9">
        <f t="shared" si="48"/>
        <v>2.6640093106058402</v>
      </c>
      <c r="AQ183" s="9">
        <f t="shared" si="49"/>
        <v>152.63649008127067</v>
      </c>
      <c r="AR183" s="9">
        <f t="shared" si="50"/>
        <v>-3.9425097928638806</v>
      </c>
      <c r="AS183" s="9">
        <f t="shared" si="51"/>
        <v>-4.8496729116353956</v>
      </c>
      <c r="AT183" s="9">
        <f t="shared" si="52"/>
        <v>-15.499978318503707</v>
      </c>
    </row>
    <row r="184" spans="25:46" x14ac:dyDescent="0.25">
      <c r="Y184" s="9">
        <v>182</v>
      </c>
      <c r="Z184" s="9">
        <f t="shared" si="44"/>
        <v>72711.757088212587</v>
      </c>
      <c r="AA184" s="9" t="str">
        <f t="shared" si="53"/>
        <v>456861.443795868i</v>
      </c>
      <c r="AB184" s="9">
        <f>(Assumed_Efficiency/100)*Rout/'4. Current Sense Resistor'!$B$11</f>
        <v>135.14141414141415</v>
      </c>
      <c r="AD184" s="9" t="str">
        <f t="shared" si="40"/>
        <v>0.0133570901836375-0.00917183514147599i</v>
      </c>
      <c r="AE184" s="9" t="str">
        <f t="shared" si="45"/>
        <v>-2.07698144711917-2.09486224599806i</v>
      </c>
      <c r="AF184" s="9" t="str">
        <f t="shared" si="41"/>
        <v>-0.884821738451812-0.16830196901928i</v>
      </c>
      <c r="AG184" s="9">
        <f t="shared" si="36"/>
        <v>0.90068588398656135</v>
      </c>
      <c r="AH184" s="9">
        <f t="shared" si="37"/>
        <v>-2.9536280032250035</v>
      </c>
      <c r="AI184" s="9">
        <f t="shared" si="38"/>
        <v>-169.23041883644541</v>
      </c>
      <c r="AJ184" s="9">
        <f t="shared" si="39"/>
        <v>-0.90853287379772651</v>
      </c>
      <c r="AL184" s="9" t="str">
        <f t="shared" si="42"/>
        <v>0.00116394648147344-0.000022058400057525i</v>
      </c>
      <c r="AM184" s="9" t="str">
        <f t="shared" si="43"/>
        <v>0.74923688791844-0.389661827627622i</v>
      </c>
      <c r="AN184" s="9" t="str">
        <f t="shared" si="46"/>
        <v>-0.548561428730569+0.298634281566294i</v>
      </c>
      <c r="AO184" s="9">
        <f t="shared" si="47"/>
        <v>0.62458152007367285</v>
      </c>
      <c r="AP184" s="9">
        <f t="shared" si="48"/>
        <v>2.6430626312349013</v>
      </c>
      <c r="AQ184" s="9">
        <f t="shared" si="49"/>
        <v>151.43633375850212</v>
      </c>
      <c r="AR184" s="9">
        <f t="shared" si="50"/>
        <v>-4.0882173937513739</v>
      </c>
      <c r="AS184" s="9">
        <f t="shared" si="51"/>
        <v>-4.9967502675491007</v>
      </c>
      <c r="AT184" s="9">
        <f t="shared" si="52"/>
        <v>-17.794085077943294</v>
      </c>
    </row>
    <row r="185" spans="25:46" x14ac:dyDescent="0.25">
      <c r="Y185" s="9">
        <v>183</v>
      </c>
      <c r="Z185" s="9">
        <f t="shared" si="44"/>
        <v>77324.434572886516</v>
      </c>
      <c r="AA185" s="9" t="str">
        <f t="shared" si="53"/>
        <v>485843.75119433i</v>
      </c>
      <c r="AB185" s="9">
        <f>(Assumed_Efficiency/100)*Rout/'4. Current Sense Resistor'!$B$11</f>
        <v>135.14141414141415</v>
      </c>
      <c r="AD185" s="9" t="str">
        <f t="shared" si="40"/>
        <v>0.0133472220525001-0.0086247888225351i</v>
      </c>
      <c r="AE185" s="9" t="str">
        <f t="shared" si="45"/>
        <v>-2.21539514566034-2.03441422553384i</v>
      </c>
      <c r="AF185" s="9" t="str">
        <f t="shared" si="41"/>
        <v>-0.887829254436528-0.151624100902981i</v>
      </c>
      <c r="AG185" s="9">
        <f t="shared" ref="AG185:AG202" si="54">IMABS(AF185)</f>
        <v>0.90068343662352246</v>
      </c>
      <c r="AH185" s="9">
        <f t="shared" ref="AH185:AH202" si="55">IMARGUMENT(AF185)</f>
        <v>-2.9724438236580237</v>
      </c>
      <c r="AI185" s="9">
        <f t="shared" ref="AI185:AI202" si="56">AH185/(PI())*180</f>
        <v>-170.30848593533349</v>
      </c>
      <c r="AJ185" s="9">
        <f t="shared" ref="AJ185:AJ202" si="57">20*LOG(AG185,10)</f>
        <v>-0.90855647531576822</v>
      </c>
      <c r="AL185" s="9" t="str">
        <f t="shared" si="42"/>
        <v>0.00116394642508768-0.000020742538056532i</v>
      </c>
      <c r="AM185" s="9" t="str">
        <f t="shared" si="43"/>
        <v>0.726882014093895-0.399082238784723i</v>
      </c>
      <c r="AN185" s="9" t="str">
        <f t="shared" si="46"/>
        <v>-0.532232730999176+0.304679259310924i</v>
      </c>
      <c r="AO185" s="9">
        <f t="shared" si="47"/>
        <v>0.61327084636487861</v>
      </c>
      <c r="AP185" s="9">
        <f t="shared" si="48"/>
        <v>2.6216731528735351</v>
      </c>
      <c r="AQ185" s="9">
        <f t="shared" si="49"/>
        <v>150.21080692240943</v>
      </c>
      <c r="AR185" s="9">
        <f t="shared" si="50"/>
        <v>-4.2469536057708011</v>
      </c>
      <c r="AS185" s="9">
        <f t="shared" si="51"/>
        <v>-5.1555100810865691</v>
      </c>
      <c r="AT185" s="9">
        <f t="shared" si="52"/>
        <v>-20.097679012924061</v>
      </c>
    </row>
    <row r="186" spans="25:46" x14ac:dyDescent="0.25">
      <c r="Y186" s="9">
        <v>184</v>
      </c>
      <c r="Z186" s="9">
        <f t="shared" si="44"/>
        <v>82229.730396460247</v>
      </c>
      <c r="AA186" s="9" t="str">
        <f t="shared" si="53"/>
        <v>516664.633840378i</v>
      </c>
      <c r="AB186" s="9">
        <f>(Assumed_Efficiency/100)*Rout/'4. Current Sense Resistor'!$B$11</f>
        <v>135.14141414141415</v>
      </c>
      <c r="AD186" s="9" t="str">
        <f t="shared" si="40"/>
        <v>0.013338495978935-0.00811036122824565i</v>
      </c>
      <c r="AE186" s="9" t="str">
        <f t="shared" si="45"/>
        <v>-2.34820854597045-1.96540167701469i</v>
      </c>
      <c r="AF186" s="9" t="str">
        <f t="shared" si="41"/>
        <v>-0.890578979790651-0.135121272333437i</v>
      </c>
      <c r="AG186" s="9">
        <f t="shared" si="54"/>
        <v>0.90077115711037492</v>
      </c>
      <c r="AH186" s="9">
        <f t="shared" si="55"/>
        <v>-2.991018094156519</v>
      </c>
      <c r="AI186" s="9">
        <f t="shared" si="56"/>
        <v>-171.37271324243162</v>
      </c>
      <c r="AJ186" s="9">
        <f t="shared" si="57"/>
        <v>-0.90771056948938733</v>
      </c>
      <c r="AL186" s="9" t="str">
        <f t="shared" si="42"/>
        <v>0.0011639463752285-0.0000195051719028502i</v>
      </c>
      <c r="AM186" s="9" t="str">
        <f t="shared" si="43"/>
        <v>0.703510101902673-0.407389551426774i</v>
      </c>
      <c r="AN186" s="9" t="str">
        <f t="shared" si="46"/>
        <v>-0.515161162470226+0.309961065491256i</v>
      </c>
      <c r="AO186" s="9">
        <f t="shared" si="47"/>
        <v>0.60122116183493512</v>
      </c>
      <c r="AP186" s="9">
        <f t="shared" si="48"/>
        <v>2.5999403463459552</v>
      </c>
      <c r="AQ186" s="9">
        <f t="shared" si="49"/>
        <v>148.96560883140472</v>
      </c>
      <c r="AR186" s="9">
        <f t="shared" si="50"/>
        <v>-4.4193148296202889</v>
      </c>
      <c r="AS186" s="9">
        <f t="shared" si="51"/>
        <v>-5.3270253991096759</v>
      </c>
      <c r="AT186" s="9">
        <f t="shared" si="52"/>
        <v>-22.407104411026893</v>
      </c>
    </row>
    <row r="187" spans="25:46" x14ac:dyDescent="0.25">
      <c r="Y187" s="9">
        <v>185</v>
      </c>
      <c r="Z187" s="9">
        <f t="shared" si="44"/>
        <v>87446.207637003507</v>
      </c>
      <c r="AA187" s="9" t="str">
        <f t="shared" si="53"/>
        <v>549440.726993396i</v>
      </c>
      <c r="AB187" s="9">
        <f>(Assumed_Efficiency/100)*Rout/'4. Current Sense Resistor'!$B$11</f>
        <v>135.14141414141415</v>
      </c>
      <c r="AD187" s="9" t="str">
        <f t="shared" si="40"/>
        <v>0.0133307798072794-0.00762660898419716i</v>
      </c>
      <c r="AE187" s="9" t="str">
        <f t="shared" si="45"/>
        <v>-2.47466979374394-1.88854000425675i</v>
      </c>
      <c r="AF187" s="9" t="str">
        <f t="shared" si="41"/>
        <v>-0.893042710251943-0.11875919694429i</v>
      </c>
      <c r="AG187" s="9">
        <f t="shared" si="54"/>
        <v>0.90090456164512145</v>
      </c>
      <c r="AH187" s="9">
        <f t="shared" si="55"/>
        <v>-3.009385683117507</v>
      </c>
      <c r="AI187" s="9">
        <f t="shared" si="56"/>
        <v>-172.42509856972731</v>
      </c>
      <c r="AJ187" s="9">
        <f t="shared" si="57"/>
        <v>-0.90642428133433162</v>
      </c>
      <c r="AL187" s="9" t="str">
        <f t="shared" si="42"/>
        <v>0.00116394633114044-0.0000183416190400928i</v>
      </c>
      <c r="AM187" s="9" t="str">
        <f t="shared" si="43"/>
        <v>0.679238287563327-0.414448331256025i</v>
      </c>
      <c r="AN187" s="9" t="str">
        <f t="shared" si="46"/>
        <v>-0.497432282426947+0.314377800048419i</v>
      </c>
      <c r="AO187" s="9">
        <f t="shared" si="47"/>
        <v>0.58844904347255567</v>
      </c>
      <c r="AP187" s="9">
        <f t="shared" si="48"/>
        <v>2.5779746008063333</v>
      </c>
      <c r="AQ187" s="9">
        <f t="shared" si="49"/>
        <v>147.7070643181261</v>
      </c>
      <c r="AR187" s="9">
        <f t="shared" si="50"/>
        <v>-4.6058227752498073</v>
      </c>
      <c r="AS187" s="9">
        <f t="shared" si="51"/>
        <v>-5.5122470565841386</v>
      </c>
      <c r="AT187" s="9">
        <f t="shared" si="52"/>
        <v>-24.71803425160121</v>
      </c>
    </row>
    <row r="188" spans="25:46" x14ac:dyDescent="0.25">
      <c r="Y188" s="9">
        <v>186</v>
      </c>
      <c r="Z188" s="9">
        <f t="shared" si="44"/>
        <v>92993.606974334747</v>
      </c>
      <c r="AA188" s="9" t="str">
        <f t="shared" si="53"/>
        <v>584296.065002773i</v>
      </c>
      <c r="AB188" s="9">
        <f>(Assumed_Efficiency/100)*Rout/'4. Current Sense Resistor'!$B$11</f>
        <v>135.14141414141415</v>
      </c>
      <c r="AD188" s="9" t="str">
        <f t="shared" si="40"/>
        <v>0.0133239566708783-0.00717170423270116i</v>
      </c>
      <c r="AE188" s="9" t="str">
        <f t="shared" si="45"/>
        <v>-2.59416295706909-1.80460374350429i</v>
      </c>
      <c r="AF188" s="9" t="str">
        <f t="shared" si="41"/>
        <v>-0.895193983981884-0.102507004102346i</v>
      </c>
      <c r="AG188" s="9">
        <f t="shared" si="54"/>
        <v>0.90104381405534095</v>
      </c>
      <c r="AH188" s="9">
        <f t="shared" si="55"/>
        <v>-3.0275810872619804</v>
      </c>
      <c r="AI188" s="9">
        <f t="shared" si="56"/>
        <v>-173.46761843374048</v>
      </c>
      <c r="AJ188" s="9">
        <f t="shared" si="57"/>
        <v>-0.90508181105524954</v>
      </c>
      <c r="AL188" s="9" t="str">
        <f t="shared" si="42"/>
        <v>0.00116394629215551-0.0000172474762430071i</v>
      </c>
      <c r="AM188" s="9" t="str">
        <f t="shared" si="43"/>
        <v>0.654206930298563-0.420138077241475i</v>
      </c>
      <c r="AN188" s="9" t="str">
        <f t="shared" si="46"/>
        <v>-0.479148612978142+0.317838648083439i</v>
      </c>
      <c r="AO188" s="9">
        <f t="shared" si="47"/>
        <v>0.57498243410941308</v>
      </c>
      <c r="AP188" s="9">
        <f t="shared" si="48"/>
        <v>2.5558963641958141</v>
      </c>
      <c r="AQ188" s="9">
        <f t="shared" si="49"/>
        <v>146.44207454125214</v>
      </c>
      <c r="AR188" s="9">
        <f t="shared" si="50"/>
        <v>-4.8069084587597741</v>
      </c>
      <c r="AS188" s="9">
        <f t="shared" si="51"/>
        <v>-5.7119902698150238</v>
      </c>
      <c r="AT188" s="9">
        <f t="shared" si="52"/>
        <v>-27.025543892488344</v>
      </c>
    </row>
    <row r="189" spans="25:46" x14ac:dyDescent="0.25">
      <c r="Y189" s="9">
        <v>187</v>
      </c>
      <c r="Z189" s="9">
        <f t="shared" si="44"/>
        <v>98892.921394542427</v>
      </c>
      <c r="AA189" s="9" t="str">
        <f t="shared" si="53"/>
        <v>621362.550690255i</v>
      </c>
      <c r="AB189" s="9">
        <f>(Assumed_Efficiency/100)*Rout/'4. Current Sense Resistor'!$B$11</f>
        <v>135.14141414141415</v>
      </c>
      <c r="AD189" s="9" t="str">
        <f t="shared" si="40"/>
        <v>0.013317923224109-0.00674392781128374i</v>
      </c>
      <c r="AE189" s="9" t="str">
        <f t="shared" si="45"/>
        <v>-2.7062092608639-1.71439834783531i</v>
      </c>
      <c r="AF189" s="9" t="str">
        <f t="shared" si="41"/>
        <v>-0.897007992762714-0.0863364508924556i</v>
      </c>
      <c r="AG189" s="9">
        <f t="shared" si="54"/>
        <v>0.90115332870322273</v>
      </c>
      <c r="AH189" s="9">
        <f t="shared" si="55"/>
        <v>-3.0456388622169452</v>
      </c>
      <c r="AI189" s="9">
        <f t="shared" si="56"/>
        <v>-174.50225272605701</v>
      </c>
      <c r="AJ189" s="9">
        <f t="shared" si="57"/>
        <v>-0.90402617499429394</v>
      </c>
      <c r="AL189" s="9" t="str">
        <f t="shared" si="42"/>
        <v>0.00116394625768303-0.0000162186029543794i</v>
      </c>
      <c r="AM189" s="9" t="str">
        <f t="shared" si="43"/>
        <v>0.628577062309727-0.424357972519474i</v>
      </c>
      <c r="AN189" s="9" t="str">
        <f t="shared" si="46"/>
        <v>-0.460427776437588+0.320267339469634i</v>
      </c>
      <c r="AO189" s="9">
        <f t="shared" si="47"/>
        <v>0.56086086157461479</v>
      </c>
      <c r="AP189" s="9">
        <f t="shared" si="48"/>
        <v>2.5338349243748777</v>
      </c>
      <c r="AQ189" s="9">
        <f t="shared" si="49"/>
        <v>145.17804714953061</v>
      </c>
      <c r="AR189" s="9">
        <f t="shared" si="50"/>
        <v>-5.0228973041145784</v>
      </c>
      <c r="AS189" s="9">
        <f t="shared" si="51"/>
        <v>-5.9269234791088721</v>
      </c>
      <c r="AT189" s="9">
        <f t="shared" si="52"/>
        <v>-29.324205576526396</v>
      </c>
    </row>
    <row r="190" spans="25:46" x14ac:dyDescent="0.25">
      <c r="Y190" s="9">
        <v>188</v>
      </c>
      <c r="Z190" s="9">
        <f t="shared" si="44"/>
        <v>105166.47563360249</v>
      </c>
      <c r="AA190" s="9" t="str">
        <f t="shared" si="53"/>
        <v>660780.454508911i</v>
      </c>
      <c r="AB190" s="9">
        <f>(Assumed_Efficiency/100)*Rout/'4. Current Sense Resistor'!$B$11</f>
        <v>135.14141414141415</v>
      </c>
      <c r="AD190" s="9" t="str">
        <f t="shared" si="40"/>
        <v>0.0133125880786749-0.00634166282640469i</v>
      </c>
      <c r="AE190" s="9" t="str">
        <f t="shared" si="45"/>
        <v>-2.81046229812393-1.6187339689935i</v>
      </c>
      <c r="AF190" s="9" t="str">
        <f t="shared" si="41"/>
        <v>-0.898461323174734-0.0702212136480011i</v>
      </c>
      <c r="AG190" s="9">
        <f t="shared" si="54"/>
        <v>0.90120129165857954</v>
      </c>
      <c r="AH190" s="9">
        <f t="shared" si="55"/>
        <v>-3.0635940236748622</v>
      </c>
      <c r="AI190" s="9">
        <f t="shared" si="56"/>
        <v>-175.53100769807162</v>
      </c>
      <c r="AJ190" s="9">
        <f t="shared" si="57"/>
        <v>-0.903563889789888</v>
      </c>
      <c r="AL190" s="9" t="str">
        <f t="shared" si="42"/>
        <v>0.00116394622720069-0.0000152511056159536i</v>
      </c>
      <c r="AM190" s="9" t="str">
        <f t="shared" si="43"/>
        <v>0.602526696781781-0.427031090800607i</v>
      </c>
      <c r="AN190" s="9" t="str">
        <f t="shared" si="46"/>
        <v>-0.441399798575843+0.321605211382187i</v>
      </c>
      <c r="AO190" s="9">
        <f t="shared" si="47"/>
        <v>0.54613523432477418</v>
      </c>
      <c r="AP190" s="9">
        <f t="shared" si="48"/>
        <v>2.5119268563042607</v>
      </c>
      <c r="AQ190" s="9">
        <f t="shared" si="49"/>
        <v>143.92280731179895</v>
      </c>
      <c r="AR190" s="9">
        <f t="shared" si="50"/>
        <v>-5.253996074518942</v>
      </c>
      <c r="AS190" s="9">
        <f t="shared" si="51"/>
        <v>-6.1575599643088301</v>
      </c>
      <c r="AT190" s="9">
        <f t="shared" si="52"/>
        <v>-31.608200386272671</v>
      </c>
    </row>
    <row r="191" spans="25:46" x14ac:dyDescent="0.25">
      <c r="Y191" s="9">
        <v>189</v>
      </c>
      <c r="Z191" s="9">
        <f t="shared" si="44"/>
        <v>111838.01066072512</v>
      </c>
      <c r="AA191" s="9" t="str">
        <f t="shared" si="53"/>
        <v>702698.945367662i</v>
      </c>
      <c r="AB191" s="9">
        <f>(Assumed_Efficiency/100)*Rout/'4. Current Sense Resistor'!$B$11</f>
        <v>135.14141414141415</v>
      </c>
      <c r="AD191" s="9" t="str">
        <f t="shared" si="40"/>
        <v>0.0133078704206045-0.00596338860079759i</v>
      </c>
      <c r="AE191" s="9" t="str">
        <f t="shared" si="45"/>
        <v>-2.90669825313617-1.51840244153395i</v>
      </c>
      <c r="AF191" s="9" t="str">
        <f t="shared" si="41"/>
        <v>-0.899531554980208-0.0541362932558168i</v>
      </c>
      <c r="AG191" s="9">
        <f t="shared" si="54"/>
        <v>0.90115911838730833</v>
      </c>
      <c r="AH191" s="9">
        <f t="shared" si="55"/>
        <v>-3.0814823942971525</v>
      </c>
      <c r="AI191" s="9">
        <f t="shared" si="56"/>
        <v>-176.55593583709464</v>
      </c>
      <c r="AJ191" s="9">
        <f t="shared" si="57"/>
        <v>-0.90397037051146079</v>
      </c>
      <c r="AL191" s="9" t="str">
        <f t="shared" si="42"/>
        <v>0.00116394620024664-0.0000143413229340659i</v>
      </c>
      <c r="AM191" s="9" t="str">
        <f t="shared" si="43"/>
        <v>0.576246141332752-0.428107744402738i</v>
      </c>
      <c r="AN191" s="9" t="str">
        <f t="shared" si="46"/>
        <v>-0.4222036854199+0.321813644439868i</v>
      </c>
      <c r="AO191" s="9">
        <f t="shared" si="47"/>
        <v>0.53086719029321794</v>
      </c>
      <c r="AP191" s="9">
        <f t="shared" si="48"/>
        <v>2.4903141835315123</v>
      </c>
      <c r="AQ191" s="9">
        <f t="shared" si="49"/>
        <v>142.68449237792316</v>
      </c>
      <c r="AR191" s="9">
        <f t="shared" si="50"/>
        <v>-5.5002822991638256</v>
      </c>
      <c r="AS191" s="9">
        <f t="shared" si="51"/>
        <v>-6.4042526696752864</v>
      </c>
      <c r="AT191" s="9">
        <f t="shared" si="52"/>
        <v>-33.871443459171473</v>
      </c>
    </row>
    <row r="192" spans="25:46" x14ac:dyDescent="0.25">
      <c r="Y192" s="9">
        <v>190</v>
      </c>
      <c r="Z192" s="9">
        <f t="shared" si="44"/>
        <v>118932.77352114675</v>
      </c>
      <c r="AA192" s="9" t="str">
        <f t="shared" si="53"/>
        <v>747276.655130187i</v>
      </c>
      <c r="AB192" s="9">
        <f>(Assumed_Efficiency/100)*Rout/'4. Current Sense Resistor'!$B$11</f>
        <v>135.14141414141415</v>
      </c>
      <c r="AD192" s="9" t="str">
        <f t="shared" si="40"/>
        <v>0.0133036987871039-0.00560767497378029i</v>
      </c>
      <c r="AE192" s="9" t="str">
        <f t="shared" si="45"/>
        <v>-2.99480235312287-1.41415826852815i</v>
      </c>
      <c r="AF192" s="9" t="str">
        <f t="shared" si="41"/>
        <v>-0.90019674903174-0.038057558695599i</v>
      </c>
      <c r="AG192" s="9">
        <f t="shared" si="54"/>
        <v>0.9010008683354207</v>
      </c>
      <c r="AH192" s="9">
        <f t="shared" si="55"/>
        <v>-3.0993408801864706</v>
      </c>
      <c r="AI192" s="9">
        <f t="shared" si="56"/>
        <v>-177.57915170704652</v>
      </c>
      <c r="AJ192" s="9">
        <f t="shared" si="57"/>
        <v>-0.90549580942873076</v>
      </c>
      <c r="AL192" s="9" t="str">
        <f t="shared" si="42"/>
        <v>0.00116394617641248-0.0000134858120242361i</v>
      </c>
      <c r="AM192" s="9" t="str">
        <f t="shared" si="43"/>
        <v>0.549932561043949-0.427567709342766i</v>
      </c>
      <c r="AN192" s="9" t="str">
        <f t="shared" si="46"/>
        <v>-0.402983451924987+0.320875679175586i</v>
      </c>
      <c r="AO192" s="9">
        <f t="shared" si="47"/>
        <v>0.51512800740376363</v>
      </c>
      <c r="AP192" s="9">
        <f t="shared" si="48"/>
        <v>2.4691423228293266</v>
      </c>
      <c r="AQ192" s="9">
        <f t="shared" si="49"/>
        <v>141.47143411524902</v>
      </c>
      <c r="AR192" s="9">
        <f t="shared" si="50"/>
        <v>-5.7616967395175775</v>
      </c>
      <c r="AS192" s="9">
        <f t="shared" si="51"/>
        <v>-6.667192548946308</v>
      </c>
      <c r="AT192" s="9">
        <f t="shared" si="52"/>
        <v>-36.107717591797496</v>
      </c>
    </row>
    <row r="193" spans="25:46" x14ac:dyDescent="0.25">
      <c r="Y193" s="9">
        <v>191</v>
      </c>
      <c r="Z193" s="9">
        <f t="shared" si="44"/>
        <v>126477.61287835392</v>
      </c>
      <c r="AA193" s="9" t="str">
        <f t="shared" si="53"/>
        <v>794682.278924421i</v>
      </c>
      <c r="AB193" s="9">
        <f>(Assumed_Efficiency/100)*Rout/'4. Current Sense Resistor'!$B$11</f>
        <v>135.14141414141415</v>
      </c>
      <c r="AD193" s="9" t="str">
        <f t="shared" si="40"/>
        <v>0.013300009984809-0.00527317693484281i</v>
      </c>
      <c r="AE193" s="9" t="str">
        <f t="shared" si="45"/>
        <v>-3.0747528073085-1.30670401092791i</v>
      </c>
      <c r="AF193" s="9" t="str">
        <f t="shared" si="41"/>
        <v>-0.900434858750528-0.0219614437431789i</v>
      </c>
      <c r="AG193" s="9">
        <f t="shared" si="54"/>
        <v>0.90070263675886297</v>
      </c>
      <c r="AH193" s="9">
        <f t="shared" si="55"/>
        <v>-3.117207668493116</v>
      </c>
      <c r="AI193" s="9">
        <f t="shared" si="56"/>
        <v>-178.602843270471</v>
      </c>
      <c r="AJ193" s="9">
        <f t="shared" si="57"/>
        <v>-0.90837131760962819</v>
      </c>
      <c r="AL193" s="9" t="str">
        <f t="shared" si="42"/>
        <v>0.00116394615533709-0.0000126813353822839i</v>
      </c>
      <c r="AM193" s="9" t="str">
        <f t="shared" si="43"/>
        <v>0.523784112203081-0.42542114490058i</v>
      </c>
      <c r="AN193" s="9" t="str">
        <f t="shared" si="46"/>
        <v>-0.383883837082874+0.318796679435861i</v>
      </c>
      <c r="AO193" s="9">
        <f t="shared" si="47"/>
        <v>0.49899711741933112</v>
      </c>
      <c r="AP193" s="9">
        <f t="shared" si="48"/>
        <v>2.4485578966272681</v>
      </c>
      <c r="AQ193" s="9">
        <f t="shared" si="49"/>
        <v>140.29203337017256</v>
      </c>
      <c r="AR193" s="9">
        <f t="shared" si="50"/>
        <v>-6.0380392635840678</v>
      </c>
      <c r="AS193" s="9">
        <f t="shared" si="51"/>
        <v>-6.946410581193696</v>
      </c>
      <c r="AT193" s="9">
        <f t="shared" si="52"/>
        <v>-38.310809900298437</v>
      </c>
    </row>
    <row r="194" spans="25:46" x14ac:dyDescent="0.25">
      <c r="Y194" s="9">
        <v>192</v>
      </c>
      <c r="Z194" s="9">
        <f t="shared" si="44"/>
        <v>134501.0806172993</v>
      </c>
      <c r="AA194" s="9" t="str">
        <f t="shared" si="53"/>
        <v>845095.213534392i</v>
      </c>
      <c r="AB194" s="9">
        <f>(Assumed_Efficiency/100)*Rout/'4. Current Sense Resistor'!$B$11</f>
        <v>135.14141414141415</v>
      </c>
      <c r="AD194" s="9" t="str">
        <f t="shared" ref="AD194:AD202" si="58">IMDIV(IMSUM(1,IMDIV(AA194,$W$4)),IMSUM(1,IMDIV(AA194,$W$6)))</f>
        <v>0.0132967481331094-0.00495862957176477i</v>
      </c>
      <c r="AE194" s="9" t="str">
        <f t="shared" si="45"/>
        <v>-3.14660342193502-1.19668013447936i</v>
      </c>
      <c r="AF194" s="9" t="str">
        <f t="shared" ref="AF194:AF202" si="59">IF(D_&lt;Dmax,IMPRODUCT(AB194,AC$2,AD194,AE194),0)</f>
        <v>-0.900223098275808-0.00582480348300729i</v>
      </c>
      <c r="AG194" s="9">
        <f t="shared" si="54"/>
        <v>0.90024194248263667</v>
      </c>
      <c r="AH194" s="9">
        <f t="shared" si="55"/>
        <v>-3.1351223439421241</v>
      </c>
      <c r="AI194" s="9">
        <f t="shared" si="56"/>
        <v>-179.62927856504578</v>
      </c>
      <c r="AJ194" s="9">
        <f t="shared" si="57"/>
        <v>-0.91281514089391658</v>
      </c>
      <c r="AL194" s="9" t="str">
        <f t="shared" ref="AL194:AL202" si="60">IMDIV(IMSUM(1,IMDIV(AA194,wz1e)),IMSUM(1,IMDIV(AA194,wp1e)))</f>
        <v>0.00116394613670115-0.0000119248486326638i</v>
      </c>
      <c r="AM194" s="9" t="str">
        <f t="shared" ref="AM194:AM202" si="61">IMDIV(IMSUM(1,IMDIV(AA194,wz2e)),IMSUM(1,IMDIV(AA194,wp2e)))</f>
        <v>0.49799401337178-0.421708130685992i</v>
      </c>
      <c r="AN194" s="9" t="str">
        <f t="shared" si="46"/>
        <v>-0.365045973250526+0.315603986457296i</v>
      </c>
      <c r="AO194" s="9">
        <f t="shared" si="47"/>
        <v>0.48256029556332214</v>
      </c>
      <c r="AP194" s="9">
        <f t="shared" si="48"/>
        <v>2.4287065068303617</v>
      </c>
      <c r="AQ194" s="9">
        <f t="shared" si="49"/>
        <v>139.15463251734079</v>
      </c>
      <c r="AR194" s="9">
        <f t="shared" si="50"/>
        <v>-6.3289682829052012</v>
      </c>
      <c r="AS194" s="9">
        <f t="shared" si="51"/>
        <v>-7.2417834237991174</v>
      </c>
      <c r="AT194" s="9">
        <f t="shared" si="52"/>
        <v>-40.474646047704994</v>
      </c>
    </row>
    <row r="195" spans="25:46" x14ac:dyDescent="0.25">
      <c r="Y195" s="9">
        <v>193</v>
      </c>
      <c r="Z195" s="9">
        <f t="shared" ref="Z195:Z202" si="62">10^(LOG($F$3/$F$2,10)*Y195/200)</f>
        <v>143033.53989310883</v>
      </c>
      <c r="AA195" s="9" t="str">
        <f t="shared" si="53"/>
        <v>898706.236290267i</v>
      </c>
      <c r="AB195" s="9">
        <f>(Assumed_Efficiency/100)*Rout/'4. Current Sense Resistor'!$B$11</f>
        <v>135.14141414141415</v>
      </c>
      <c r="AD195" s="9" t="str">
        <f t="shared" si="58"/>
        <v>0.0132938638180975-0.00466284331544153i</v>
      </c>
      <c r="AE195" s="9" t="str">
        <f t="shared" ref="AE195:AE202" si="63">IMDIV(IMSUM(1,IMDIV(IMPRODUCT(-1,AA195),$W$5)),IMSUM(1,IMDIV(AA195,$W$2*$W$3),IMDIV(IMPOWER(AA195,2),$W$2^2)))</f>
        <v>-3.21046593021267-1.08465909336699i</v>
      </c>
      <c r="AF195" s="9" t="str">
        <f t="shared" si="59"/>
        <v>-0.899537297674002+0.0103750691703997i</v>
      </c>
      <c r="AG195" s="9">
        <f t="shared" si="54"/>
        <v>0.89959712758930965</v>
      </c>
      <c r="AH195" s="9">
        <f t="shared" si="55"/>
        <v>3.1300593806781696</v>
      </c>
      <c r="AI195" s="9">
        <f t="shared" si="56"/>
        <v>179.33919213819141</v>
      </c>
      <c r="AJ195" s="9">
        <f t="shared" si="57"/>
        <v>-0.91903879870107774</v>
      </c>
      <c r="AL195" s="9" t="str">
        <f t="shared" si="60"/>
        <v>0.00116394612022228-0.0000112134890076557i</v>
      </c>
      <c r="AM195" s="9" t="str">
        <f t="shared" si="61"/>
        <v>0.472744927112725-0.416496860065714i</v>
      </c>
      <c r="AN195" s="9" t="str">
        <f t="shared" ref="AN195:AN202" si="64">IMPRODUCT($AK$2,AL195,AM195)</f>
        <v>-0.346603282394115+0.311345591972942i</v>
      </c>
      <c r="AO195" s="9">
        <f t="shared" ref="AO195:AO202" si="65">IMABS(AN195)</f>
        <v>0.46590762282598069</v>
      </c>
      <c r="AP195" s="9">
        <f t="shared" ref="AP195:AP202" si="66">IMARGUMENT(AN195)</f>
        <v>2.4097305645001192</v>
      </c>
      <c r="AQ195" s="9">
        <f t="shared" ref="AQ195:AQ202" si="67">AP195/(PI())*180</f>
        <v>138.06739110953424</v>
      </c>
      <c r="AR195" s="9">
        <f t="shared" ref="AR195:AR202" si="68">20*LOG(AO195,10)</f>
        <v>-6.634003677956489</v>
      </c>
      <c r="AS195" s="9">
        <f t="shared" ref="AS195:AS202" si="69">AR195+AJ195</f>
        <v>-7.5530424766575663</v>
      </c>
      <c r="AT195" s="9">
        <f t="shared" ref="AT195:AT202" si="70">AQ195+AI195</f>
        <v>317.40658324772562</v>
      </c>
    </row>
    <row r="196" spans="25:46" x14ac:dyDescent="0.25">
      <c r="Y196" s="9">
        <v>194</v>
      </c>
      <c r="Z196" s="9">
        <f t="shared" si="62"/>
        <v>152107.28003416685</v>
      </c>
      <c r="AA196" s="9" t="str">
        <f t="shared" ref="AA196:AA202" si="71">IMPRODUCT(COMPLEX(0,1),2*PI()*Z196)</f>
        <v>955718.227025728i</v>
      </c>
      <c r="AB196" s="9">
        <f>(Assumed_Efficiency/100)*Rout/'4. Current Sense Resistor'!$B$11</f>
        <v>135.14141414141415</v>
      </c>
      <c r="AD196" s="9" t="str">
        <f t="shared" si="58"/>
        <v>0.0132913133443618-0.00438469946450348i</v>
      </c>
      <c r="AE196" s="9" t="str">
        <f t="shared" si="63"/>
        <v>-3.26649288260273-0.971143237834451i</v>
      </c>
      <c r="AF196" s="9" t="str">
        <f t="shared" si="59"/>
        <v>-0.898351272047817+0.0266602711610393i</v>
      </c>
      <c r="AG196" s="9">
        <f t="shared" si="54"/>
        <v>0.89874678194044799</v>
      </c>
      <c r="AH196" s="9">
        <f t="shared" si="55"/>
        <v>3.1119244721123329</v>
      </c>
      <c r="AI196" s="9">
        <f t="shared" si="56"/>
        <v>178.30013841551332</v>
      </c>
      <c r="AJ196" s="9">
        <f t="shared" si="57"/>
        <v>-0.9272530328879337</v>
      </c>
      <c r="AL196" s="9" t="str">
        <f t="shared" si="60"/>
        <v>0.00116394610565083-0.0000105445645138128i</v>
      </c>
      <c r="AM196" s="9" t="str">
        <f t="shared" si="61"/>
        <v>0.448203992592764-0.409880639462302i</v>
      </c>
      <c r="AN196" s="9" t="str">
        <f t="shared" si="64"/>
        <v>-0.328677847752533+0.306087939528815i</v>
      </c>
      <c r="AO196" s="9">
        <f t="shared" si="65"/>
        <v>0.44913133305107178</v>
      </c>
      <c r="AP196" s="9">
        <f t="shared" si="66"/>
        <v>2.3917672625160584</v>
      </c>
      <c r="AQ196" s="9">
        <f t="shared" si="67"/>
        <v>137.03816971972859</v>
      </c>
      <c r="AR196" s="9">
        <f t="shared" si="68"/>
        <v>-6.9525329180506876</v>
      </c>
      <c r="AS196" s="9">
        <f t="shared" si="69"/>
        <v>-7.8797859509386212</v>
      </c>
      <c r="AT196" s="9">
        <f t="shared" si="70"/>
        <v>315.3383081352419</v>
      </c>
    </row>
    <row r="197" spans="25:46" x14ac:dyDescent="0.25">
      <c r="Y197" s="9">
        <v>195</v>
      </c>
      <c r="Z197" s="9">
        <f t="shared" si="62"/>
        <v>161756.63873440344</v>
      </c>
      <c r="AA197" s="9" t="str">
        <f t="shared" si="71"/>
        <v>1016346.93583476i</v>
      </c>
      <c r="AB197" s="9">
        <f>(Assumed_Efficiency/100)*Rout/'4. Current Sense Resistor'!$B$11</f>
        <v>135.14141414141415</v>
      </c>
      <c r="AD197" s="9" t="str">
        <f t="shared" si="58"/>
        <v>0.0132890580733173-0.00412314597368945i</v>
      </c>
      <c r="AE197" s="9" t="str">
        <f t="shared" si="63"/>
        <v>-3.31486173610114-0.8565660208024i</v>
      </c>
      <c r="AF197" s="9" t="str">
        <f t="shared" si="59"/>
        <v>-0.896636227829302+0.0430519679459772i</v>
      </c>
      <c r="AG197" s="9">
        <f t="shared" si="54"/>
        <v>0.89766920243482862</v>
      </c>
      <c r="AH197" s="9">
        <f t="shared" si="55"/>
        <v>3.0936145240516599</v>
      </c>
      <c r="AI197" s="9">
        <f t="shared" si="56"/>
        <v>177.25105566853301</v>
      </c>
      <c r="AJ197" s="9">
        <f t="shared" si="57"/>
        <v>-0.9376734899157767</v>
      </c>
      <c r="AL197" s="9" t="str">
        <f t="shared" si="60"/>
        <v>0.001163946092766-9.91554374466874E-06i</v>
      </c>
      <c r="AM197" s="9" t="str">
        <f t="shared" si="61"/>
        <v>0.424518781629267-0.401973934133054i</v>
      </c>
      <c r="AN197" s="9" t="str">
        <f t="shared" si="64"/>
        <v>-0.311377460011447+0.299913029731667i</v>
      </c>
      <c r="AO197" s="9">
        <f t="shared" si="65"/>
        <v>0.43232366116835202</v>
      </c>
      <c r="AP197" s="9">
        <f t="shared" si="66"/>
        <v>2.3749467636644037</v>
      </c>
      <c r="AQ197" s="9">
        <f t="shared" si="67"/>
        <v>136.0744261262241</v>
      </c>
      <c r="AR197" s="9">
        <f t="shared" si="68"/>
        <v>-7.283819895681626</v>
      </c>
      <c r="AS197" s="9">
        <f t="shared" si="69"/>
        <v>-8.2214933855974035</v>
      </c>
      <c r="AT197" s="9">
        <f t="shared" si="70"/>
        <v>313.32548179475714</v>
      </c>
    </row>
    <row r="198" spans="25:46" x14ac:dyDescent="0.25">
      <c r="Y198" s="9">
        <v>196</v>
      </c>
      <c r="Z198" s="9">
        <f t="shared" si="62"/>
        <v>172018.13199719929</v>
      </c>
      <c r="AA198" s="9" t="str">
        <f t="shared" si="71"/>
        <v>1080821.79953328i</v>
      </c>
      <c r="AB198" s="9">
        <f>(Assumed_Efficiency/100)*Rout/'4. Current Sense Resistor'!$B$11</f>
        <v>135.14141414141415</v>
      </c>
      <c r="AD198" s="9" t="str">
        <f t="shared" si="58"/>
        <v>0.0132870638380716-0.00387719349078252i</v>
      </c>
      <c r="AE198" s="9" t="str">
        <f t="shared" si="63"/>
        <v>-3.35576058519232-0.741295934545667i</v>
      </c>
      <c r="AF198" s="9" t="str">
        <f t="shared" si="59"/>
        <v>-0.894360226620558+0.0595699309079083i</v>
      </c>
      <c r="AG198" s="9">
        <f t="shared" si="54"/>
        <v>0.89634189438469791</v>
      </c>
      <c r="AH198" s="9">
        <f t="shared" si="55"/>
        <v>3.0750846949795805</v>
      </c>
      <c r="AI198" s="9">
        <f t="shared" si="56"/>
        <v>176.18937466760406</v>
      </c>
      <c r="AJ198" s="9">
        <f t="shared" si="57"/>
        <v>-0.95052608972763397</v>
      </c>
      <c r="AL198" s="9" t="str">
        <f t="shared" si="60"/>
        <v>0.00116394608137257-9.32404630115368E-06i</v>
      </c>
      <c r="AM198" s="9" t="str">
        <f t="shared" si="61"/>
        <v>0.401814359089862-0.392907761869456i</v>
      </c>
      <c r="AN198" s="9" t="str">
        <f t="shared" si="64"/>
        <v>-0.294793470130101+0.292915049584728i</v>
      </c>
      <c r="AO198" s="9">
        <f t="shared" si="65"/>
        <v>0.41557480229745691</v>
      </c>
      <c r="AP198" s="9">
        <f t="shared" si="66"/>
        <v>2.35939065646531</v>
      </c>
      <c r="AQ198" s="9">
        <f t="shared" si="67"/>
        <v>135.18312683806295</v>
      </c>
      <c r="AR198" s="9">
        <f t="shared" si="68"/>
        <v>-7.6270158611290926</v>
      </c>
      <c r="AS198" s="9">
        <f t="shared" si="69"/>
        <v>-8.5775419508567268</v>
      </c>
      <c r="AT198" s="9">
        <f t="shared" si="70"/>
        <v>311.372501505667</v>
      </c>
    </row>
    <row r="199" spans="25:46" x14ac:dyDescent="0.25">
      <c r="Y199" s="9">
        <v>197</v>
      </c>
      <c r="Z199" s="9">
        <f t="shared" si="62"/>
        <v>182930.59232265301</v>
      </c>
      <c r="AA199" s="9" t="str">
        <f t="shared" si="71"/>
        <v>1149386.80991535i</v>
      </c>
      <c r="AB199" s="9">
        <f>(Assumed_Efficiency/100)*Rout/'4. Current Sense Resistor'!$B$11</f>
        <v>135.14141414141415</v>
      </c>
      <c r="AD199" s="9" t="str">
        <f t="shared" si="58"/>
        <v>0.0132853004259787-0.0036459116277313i</v>
      </c>
      <c r="AE199" s="9" t="str">
        <f t="shared" si="63"/>
        <v>-3.38937580773893-0.625642616955073i</v>
      </c>
      <c r="AF199" s="9" t="str">
        <f t="shared" si="59"/>
        <v>-0.891487725088493+0.0762319413729735i</v>
      </c>
      <c r="AG199" s="9">
        <f t="shared" si="54"/>
        <v>0.89474112058681476</v>
      </c>
      <c r="AH199" s="9">
        <f t="shared" si="55"/>
        <v>3.0562892394039425</v>
      </c>
      <c r="AI199" s="9">
        <f t="shared" si="56"/>
        <v>175.11247438909436</v>
      </c>
      <c r="AJ199" s="9">
        <f t="shared" si="57"/>
        <v>-0.96605205712258568</v>
      </c>
      <c r="AL199" s="9" t="str">
        <f t="shared" si="60"/>
        <v>0.00116394607129791-0.0000087678337834661i</v>
      </c>
      <c r="AM199" s="9" t="str">
        <f t="shared" si="61"/>
        <v>0.380191526357801-0.38282476135749i</v>
      </c>
      <c r="AN199" s="9" t="str">
        <f t="shared" si="64"/>
        <v>-0.278999506314513+0.285196764549133i</v>
      </c>
      <c r="AO199" s="9">
        <f t="shared" si="65"/>
        <v>0.39897107543409155</v>
      </c>
      <c r="AP199" s="9">
        <f t="shared" si="66"/>
        <v>2.3452107078934246</v>
      </c>
      <c r="AQ199" s="9">
        <f t="shared" si="67"/>
        <v>134.37067563118137</v>
      </c>
      <c r="AR199" s="9">
        <f t="shared" si="68"/>
        <v>-7.9811717722152</v>
      </c>
      <c r="AS199" s="9">
        <f t="shared" si="69"/>
        <v>-8.9472238293377853</v>
      </c>
      <c r="AT199" s="9">
        <f t="shared" si="70"/>
        <v>309.48315002027573</v>
      </c>
    </row>
    <row r="200" spans="25:46" x14ac:dyDescent="0.25">
      <c r="Y200" s="9">
        <v>198</v>
      </c>
      <c r="Z200" s="9">
        <f t="shared" si="62"/>
        <v>194535.31566115122</v>
      </c>
      <c r="AA200" s="9" t="str">
        <f t="shared" si="71"/>
        <v>1222301.43708969i</v>
      </c>
      <c r="AB200" s="9">
        <f>(Assumed_Efficiency/100)*Rout/'4. Current Sense Resistor'!$B$11</f>
        <v>135.14141414141415</v>
      </c>
      <c r="AD200" s="9" t="str">
        <f t="shared" si="58"/>
        <v>0.0132837411210546-0.00342842545236149i</v>
      </c>
      <c r="AE200" s="9" t="str">
        <f t="shared" si="63"/>
        <v>-3.41588176466979-0.509864610808205i</v>
      </c>
      <c r="AF200" s="9" t="str">
        <f t="shared" si="59"/>
        <v>-0.887979208844063+0.0930530687345058i</v>
      </c>
      <c r="AG200" s="9">
        <f t="shared" si="54"/>
        <v>0.8928415026981199</v>
      </c>
      <c r="AH200" s="9">
        <f t="shared" si="55"/>
        <v>3.0371817862514181</v>
      </c>
      <c r="AI200" s="9">
        <f t="shared" si="56"/>
        <v>174.01769796621079</v>
      </c>
      <c r="AJ200" s="9">
        <f t="shared" si="57"/>
        <v>-0.98451260527487516</v>
      </c>
      <c r="AL200" s="9" t="str">
        <f t="shared" si="60"/>
        <v>0.00116394606238938-8.24480132031175E-06i</v>
      </c>
      <c r="AM200" s="9" t="str">
        <f t="shared" si="61"/>
        <v>0.359726227538103-0.371874252318219i</v>
      </c>
      <c r="AN200" s="9" t="str">
        <f t="shared" si="64"/>
        <v>-0.264051040291194+0.276865904942815i</v>
      </c>
      <c r="AO200" s="9">
        <f t="shared" si="65"/>
        <v>0.38259336272165728</v>
      </c>
      <c r="AP200" s="9">
        <f t="shared" si="66"/>
        <v>2.3325079185922148</v>
      </c>
      <c r="AQ200" s="9">
        <f t="shared" si="67"/>
        <v>133.64285941617811</v>
      </c>
      <c r="AR200" s="9">
        <f t="shared" si="68"/>
        <v>-8.3452513687861796</v>
      </c>
      <c r="AS200" s="9">
        <f t="shared" si="69"/>
        <v>-9.3297639740610556</v>
      </c>
      <c r="AT200" s="9">
        <f t="shared" si="70"/>
        <v>307.6605573823889</v>
      </c>
    </row>
    <row r="201" spans="25:46" x14ac:dyDescent="0.25">
      <c r="Y201" s="9">
        <v>199</v>
      </c>
      <c r="Z201" s="9">
        <f t="shared" si="62"/>
        <v>206876.21768935499</v>
      </c>
      <c r="AA201" s="9" t="str">
        <f t="shared" si="71"/>
        <v>1299841.61139064i</v>
      </c>
      <c r="AB201" s="9">
        <f>(Assumed_Efficiency/100)*Rout/'4. Current Sense Resistor'!$B$11</f>
        <v>135.14141414141415</v>
      </c>
      <c r="AD201" s="9" t="str">
        <f t="shared" si="58"/>
        <v>0.0132823622993324-0.0032239121878307i</v>
      </c>
      <c r="AE201" s="9" t="str">
        <f t="shared" si="63"/>
        <v>-3.43543259521977-0.394178322961522i</v>
      </c>
      <c r="AF201" s="9" t="str">
        <f t="shared" si="59"/>
        <v>-0.883790938969828+0.110044830017887i</v>
      </c>
      <c r="AG201" s="9">
        <f t="shared" si="54"/>
        <v>0.8906156794144352</v>
      </c>
      <c r="AH201" s="9">
        <f t="shared" si="55"/>
        <v>3.0177156702661185</v>
      </c>
      <c r="AI201" s="9">
        <f t="shared" si="56"/>
        <v>172.90237167674096</v>
      </c>
      <c r="AJ201" s="9">
        <f t="shared" si="57"/>
        <v>-1.0061932664397895</v>
      </c>
      <c r="AL201" s="9" t="str">
        <f t="shared" si="60"/>
        <v>0.00116394605451201-7.75296960345343E-06i</v>
      </c>
      <c r="AM201" s="9" t="str">
        <f t="shared" si="61"/>
        <v>0.340470013696517-0.360207565670132i</v>
      </c>
      <c r="AN201" s="9" t="str">
        <f t="shared" si="64"/>
        <v>-0.249985726399569+0.268031749892317i</v>
      </c>
      <c r="AO201" s="9">
        <f t="shared" si="65"/>
        <v>0.36651586917056911</v>
      </c>
      <c r="AP201" s="9">
        <f t="shared" si="66"/>
        <v>2.3213718646359749</v>
      </c>
      <c r="AQ201" s="9">
        <f t="shared" si="67"/>
        <v>133.00481052405561</v>
      </c>
      <c r="AR201" s="9">
        <f t="shared" si="68"/>
        <v>-8.7181443362001474</v>
      </c>
      <c r="AS201" s="9">
        <f t="shared" si="69"/>
        <v>-9.7243376026399364</v>
      </c>
      <c r="AT201" s="9">
        <f t="shared" si="70"/>
        <v>305.90718220079657</v>
      </c>
    </row>
    <row r="202" spans="25:46" x14ac:dyDescent="0.25">
      <c r="Y202" s="9">
        <v>200</v>
      </c>
      <c r="Z202" s="9">
        <f t="shared" si="62"/>
        <v>219999.99999999985</v>
      </c>
      <c r="AA202" s="9" t="str">
        <f t="shared" si="71"/>
        <v>1382300.76757951i</v>
      </c>
      <c r="AB202" s="9">
        <f>(Assumed_Efficiency/100)*Rout/'4. Current Sense Resistor'!$B$11</f>
        <v>135.14141414141415</v>
      </c>
      <c r="AD202" s="9" t="str">
        <f t="shared" si="58"/>
        <v>0.0132811430710359-0.00303159810769278i</v>
      </c>
      <c r="AE202" s="9" t="str">
        <f t="shared" si="63"/>
        <v>-3.44815608750695-0.278767800055939i</v>
      </c>
      <c r="AF202" s="9" t="str">
        <f t="shared" si="59"/>
        <v>-0.878874831768835+0.127214238788083i</v>
      </c>
      <c r="AG202" s="9">
        <f t="shared" si="54"/>
        <v>0.88803402663812903</v>
      </c>
      <c r="AH202" s="9">
        <f t="shared" si="55"/>
        <v>2.9978443168354874</v>
      </c>
      <c r="AI202" s="9">
        <f t="shared" si="56"/>
        <v>171.76382699195298</v>
      </c>
      <c r="AJ202" s="9">
        <f t="shared" si="57"/>
        <v>-1.0314078623996328</v>
      </c>
      <c r="AL202" s="9" t="str">
        <f t="shared" si="60"/>
        <v>0.00116394604754643-7.29047739742803E-06i</v>
      </c>
      <c r="AM202" s="9" t="str">
        <f t="shared" si="61"/>
        <v>0.322451398340338-0.347973862801457i</v>
      </c>
      <c r="AN202" s="9" t="str">
        <f t="shared" si="64"/>
        <v>-0.236824391673999+0.258802068846868i</v>
      </c>
      <c r="AO202" s="9">
        <f t="shared" si="65"/>
        <v>0.350805221356779</v>
      </c>
      <c r="AP202" s="9">
        <f t="shared" si="66"/>
        <v>2.3118802922407564</v>
      </c>
      <c r="AQ202" s="9">
        <f t="shared" si="67"/>
        <v>132.46098348486672</v>
      </c>
      <c r="AR202" s="9">
        <f t="shared" si="68"/>
        <v>-9.0986790250730962</v>
      </c>
      <c r="AS202" s="9">
        <f t="shared" si="69"/>
        <v>-10.130086887472729</v>
      </c>
      <c r="AT202" s="9">
        <f t="shared" si="70"/>
        <v>304.2248104768197</v>
      </c>
    </row>
  </sheetData>
  <sheetProtection password="F725" sheet="1" objects="1" scenarios="1" selectLockedCells="1"/>
  <customSheetViews>
    <customSheetView guid="{25ED444C-8CCE-464F-9E26-1EDA12EA830D}" scale="85">
      <selection activeCell="E7" sqref="E7"/>
      <pageMargins left="0.7" right="0.7" top="0.75" bottom="0.75" header="0.3" footer="0.3"/>
      <pageSetup orientation="portrait" r:id="rId1"/>
    </customSheetView>
  </customSheetViews>
  <conditionalFormatting sqref="E4">
    <cfRule type="notContainsBlanks" dxfId="0" priority="1">
      <formula>LEN(TRIM(E4))&gt;0</formula>
    </cfRule>
  </conditionalFormatting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F35" sqref="F35"/>
    </sheetView>
  </sheetViews>
  <sheetFormatPr defaultRowHeight="15" x14ac:dyDescent="0.25"/>
  <sheetData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"/>
  <sheetViews>
    <sheetView topLeftCell="A4" workbookViewId="0">
      <selection activeCell="J45" sqref="J45"/>
    </sheetView>
  </sheetViews>
  <sheetFormatPr defaultRowHeight="15" x14ac:dyDescent="0.25"/>
  <sheetData>
    <row r="1" spans="1:4" hidden="1" x14ac:dyDescent="0.25">
      <c r="B1" t="s">
        <v>30</v>
      </c>
      <c r="C1" t="s">
        <v>63</v>
      </c>
      <c r="D1" t="s">
        <v>32</v>
      </c>
    </row>
    <row r="2" spans="1:4" hidden="1" x14ac:dyDescent="0.25">
      <c r="A2" t="s">
        <v>62</v>
      </c>
      <c r="B2">
        <f>1-Vin_max/Vout</f>
        <v>0.61764705882352944</v>
      </c>
      <c r="C2">
        <f>1-Vin_nominal/Vout</f>
        <v>0.61764705882352944</v>
      </c>
      <c r="D2">
        <f>1-Vin_min/Vout</f>
        <v>0.61764705882352944</v>
      </c>
    </row>
    <row r="3" spans="1:4" hidden="1" x14ac:dyDescent="0.25">
      <c r="A3" t="s">
        <v>8</v>
      </c>
      <c r="C3">
        <f>1/('2. Design Parameters'!C7*1000)</f>
        <v>2.2222222222222221E-6</v>
      </c>
    </row>
  </sheetData>
  <sheetProtection password="F725" sheet="1" objects="1" scenarios="1"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1"/>
  <sheetViews>
    <sheetView workbookViewId="0">
      <selection activeCell="B15" sqref="B15"/>
    </sheetView>
  </sheetViews>
  <sheetFormatPr defaultRowHeight="15" x14ac:dyDescent="0.25"/>
  <cols>
    <col min="1" max="1" width="20.5703125" style="17" customWidth="1"/>
    <col min="2" max="2" width="13" style="17" customWidth="1"/>
    <col min="3" max="5" width="9.140625" style="17"/>
    <col min="6" max="6" width="39" style="17" customWidth="1"/>
    <col min="7" max="7" width="9.140625" style="17"/>
    <col min="8" max="8" width="12.28515625" style="17" bestFit="1" customWidth="1"/>
    <col min="9" max="9" width="5.28515625" style="17" bestFit="1" customWidth="1"/>
    <col min="10" max="10" width="15.5703125" style="17" bestFit="1" customWidth="1"/>
    <col min="11" max="11" width="14.5703125" style="17" bestFit="1" customWidth="1"/>
    <col min="12" max="12" width="15.85546875" style="17" bestFit="1" customWidth="1"/>
    <col min="13" max="13" width="11" style="17" bestFit="1" customWidth="1"/>
    <col min="14" max="16384" width="9.140625" style="17"/>
  </cols>
  <sheetData>
    <row r="1" spans="1:16" x14ac:dyDescent="0.25">
      <c r="A1" s="17" t="s">
        <v>29</v>
      </c>
      <c r="H1" s="17" t="s">
        <v>117</v>
      </c>
      <c r="I1" s="17" t="s">
        <v>1</v>
      </c>
      <c r="J1" s="17" t="s">
        <v>115</v>
      </c>
      <c r="K1" s="17" t="s">
        <v>114</v>
      </c>
      <c r="L1" s="17" t="s">
        <v>116</v>
      </c>
      <c r="M1" s="17" t="s">
        <v>141</v>
      </c>
      <c r="N1" s="17" t="s">
        <v>148</v>
      </c>
      <c r="O1" s="17" t="s">
        <v>146</v>
      </c>
      <c r="P1" s="17" t="s">
        <v>147</v>
      </c>
    </row>
    <row r="2" spans="1:16" x14ac:dyDescent="0.25">
      <c r="A2" s="17" t="s">
        <v>117</v>
      </c>
      <c r="B2" s="16" t="s">
        <v>152</v>
      </c>
      <c r="H2" s="17" t="s">
        <v>152</v>
      </c>
      <c r="I2" s="17">
        <v>6.8</v>
      </c>
      <c r="J2" s="17">
        <v>0.18</v>
      </c>
      <c r="K2" s="17">
        <v>0.2</v>
      </c>
      <c r="L2" s="17">
        <v>0.22</v>
      </c>
      <c r="M2" s="17">
        <v>53</v>
      </c>
      <c r="N2" s="17">
        <v>405</v>
      </c>
      <c r="O2" s="17">
        <v>450</v>
      </c>
      <c r="P2" s="17">
        <v>495</v>
      </c>
    </row>
    <row r="3" spans="1:16" x14ac:dyDescent="0.25">
      <c r="B3" s="17" t="s">
        <v>30</v>
      </c>
      <c r="C3" s="17" t="s">
        <v>31</v>
      </c>
      <c r="D3" s="17" t="s">
        <v>32</v>
      </c>
      <c r="E3" s="17" t="s">
        <v>34</v>
      </c>
      <c r="H3" s="17" t="s">
        <v>145</v>
      </c>
    </row>
    <row r="4" spans="1:16" x14ac:dyDescent="0.25">
      <c r="A4" s="17" t="s">
        <v>0</v>
      </c>
      <c r="B4" s="16">
        <v>2.6</v>
      </c>
      <c r="C4" s="16">
        <v>2.6</v>
      </c>
      <c r="D4" s="16">
        <v>2.6</v>
      </c>
      <c r="E4" s="17" t="s">
        <v>35</v>
      </c>
      <c r="H4" s="17" t="s">
        <v>145</v>
      </c>
    </row>
    <row r="5" spans="1:16" x14ac:dyDescent="0.25">
      <c r="A5" s="17" t="s">
        <v>1</v>
      </c>
      <c r="C5" s="11">
        <f>VLOOKUP($B$2,H2:M5,2,FALSE)</f>
        <v>6.8</v>
      </c>
      <c r="E5" s="17" t="s">
        <v>35</v>
      </c>
      <c r="F5" s="5"/>
      <c r="H5" s="17" t="s">
        <v>145</v>
      </c>
    </row>
    <row r="6" spans="1:16" x14ac:dyDescent="0.25">
      <c r="A6" s="17" t="s">
        <v>2</v>
      </c>
      <c r="D6" s="16">
        <v>3.6</v>
      </c>
      <c r="E6" s="17" t="s">
        <v>36</v>
      </c>
    </row>
    <row r="7" spans="1:16" x14ac:dyDescent="0.25">
      <c r="A7" s="17" t="s">
        <v>7</v>
      </c>
      <c r="B7" s="11">
        <f>VLOOKUP($B$2,H2:P5,7,FALSE)</f>
        <v>405</v>
      </c>
      <c r="C7" s="11">
        <f>VLOOKUP($B$2,H2:P5,8,FALSE)</f>
        <v>450</v>
      </c>
      <c r="D7" s="11">
        <f>VLOOKUP($B$2,H2:P5,9,FALSE)</f>
        <v>495</v>
      </c>
      <c r="E7" s="17" t="s">
        <v>44</v>
      </c>
    </row>
    <row r="8" spans="1:16" x14ac:dyDescent="0.25">
      <c r="A8" s="17" t="s">
        <v>118</v>
      </c>
      <c r="B8" s="11"/>
      <c r="C8" s="11">
        <f>VLOOKUP($B$2,$H$2:$M$5,6,FALSE)</f>
        <v>53</v>
      </c>
      <c r="D8" s="11"/>
      <c r="E8" s="17" t="s">
        <v>140</v>
      </c>
    </row>
    <row r="9" spans="1:16" x14ac:dyDescent="0.25">
      <c r="A9" s="17" t="s">
        <v>33</v>
      </c>
      <c r="B9" s="11">
        <v>82</v>
      </c>
      <c r="C9" s="12">
        <v>83</v>
      </c>
      <c r="D9" s="11"/>
      <c r="E9" s="17" t="s">
        <v>37</v>
      </c>
      <c r="F9" s="5"/>
    </row>
    <row r="10" spans="1:16" x14ac:dyDescent="0.25">
      <c r="A10" s="17" t="s">
        <v>38</v>
      </c>
      <c r="B10" s="11"/>
      <c r="C10" s="12">
        <v>6</v>
      </c>
      <c r="D10" s="11"/>
      <c r="E10" s="17" t="s">
        <v>35</v>
      </c>
    </row>
    <row r="11" spans="1:16" x14ac:dyDescent="0.25">
      <c r="A11" s="17" t="s">
        <v>42</v>
      </c>
      <c r="B11" s="11">
        <f>VLOOKUP($B$2,$H$2:$M$5,3,FALSE)</f>
        <v>0.18</v>
      </c>
      <c r="C11" s="11">
        <f>VLOOKUP($B$2,$H$2:$M$5,4,FALSE)</f>
        <v>0.2</v>
      </c>
      <c r="D11" s="11">
        <f>VLOOKUP($B$2,$H$2:$M$5,5,FALSE)</f>
        <v>0.22</v>
      </c>
      <c r="E11" s="17" t="s">
        <v>43</v>
      </c>
    </row>
  </sheetData>
  <sheetProtection password="F725" sheet="1" objects="1" scenarios="1"/>
  <customSheetViews>
    <customSheetView guid="{25ED444C-8CCE-464F-9E26-1EDA12EA830D}">
      <selection activeCell="G32" sqref="G32"/>
      <pageMargins left="0.7" right="0.7" top="0.75" bottom="0.75" header="0.3" footer="0.3"/>
    </customSheetView>
  </customSheetViews>
  <conditionalFormatting sqref="F5 F9">
    <cfRule type="notContainsBlanks" dxfId="1" priority="3">
      <formula>LEN(TRIM(F5))&gt;0</formula>
    </cfRule>
  </conditionalFormatting>
  <dataValidations count="1">
    <dataValidation type="list" showInputMessage="1" showErrorMessage="1" errorTitle="Invalid Part Number" promptTitle="Part Number Required" prompt="Select from list" sqref="B2">
      <formula1>PartNumber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0"/>
  <sheetViews>
    <sheetView zoomScale="190" zoomScaleNormal="190" workbookViewId="0">
      <selection activeCell="B9" sqref="B9"/>
    </sheetView>
  </sheetViews>
  <sheetFormatPr defaultRowHeight="15" x14ac:dyDescent="0.25"/>
  <cols>
    <col min="1" max="1" width="17" customWidth="1"/>
    <col min="3" max="3" width="9.7109375" customWidth="1"/>
    <col min="4" max="6" width="9.140625" hidden="1" customWidth="1"/>
  </cols>
  <sheetData>
    <row r="1" spans="1:6" x14ac:dyDescent="0.25">
      <c r="A1" t="s">
        <v>39</v>
      </c>
      <c r="F1" s="7">
        <v>1</v>
      </c>
    </row>
    <row r="7" spans="1:6" x14ac:dyDescent="0.25">
      <c r="A7" t="str">
        <f>IF(F1=1,"Rupper","Rlower")</f>
        <v>Rupper</v>
      </c>
      <c r="B7" s="2"/>
      <c r="C7" s="1" t="s">
        <v>41</v>
      </c>
      <c r="D7" s="7">
        <f>IF(F1=1,B7,B9)</f>
        <v>0</v>
      </c>
    </row>
    <row r="8" spans="1:6" x14ac:dyDescent="0.25">
      <c r="A8" t="str">
        <f>IF(F1=1,"Suggested Rlower","Suggested Rupper")</f>
        <v>Suggested Rlower</v>
      </c>
      <c r="B8" s="3">
        <f>IF(F1=1,B7/(Vout/1.2-1),B7*(Vout/1.2-1))</f>
        <v>0</v>
      </c>
      <c r="C8" s="1" t="s">
        <v>41</v>
      </c>
      <c r="D8" s="7">
        <f>IF(F1=1,B9,B7)</f>
        <v>0</v>
      </c>
    </row>
    <row r="9" spans="1:6" x14ac:dyDescent="0.25">
      <c r="A9" t="str">
        <f>IF(F1=1,"Rlower used","Rupper used")</f>
        <v>Rlower used</v>
      </c>
      <c r="B9" s="2"/>
      <c r="C9" s="1" t="s">
        <v>41</v>
      </c>
    </row>
    <row r="10" spans="1:6" x14ac:dyDescent="0.25">
      <c r="A10" t="s">
        <v>40</v>
      </c>
      <c r="B10" s="3" t="e">
        <f>IF(F1=1,1.2*(B7+B9)/B9,1.2*(B7+B9)/B7)</f>
        <v>#DIV/0!</v>
      </c>
      <c r="C10" s="4" t="s">
        <v>35</v>
      </c>
    </row>
  </sheetData>
  <sheetProtection password="F725" sheet="1" objects="1" scenarios="1" selectLockedCells="1"/>
  <customSheetViews>
    <customSheetView guid="{25ED444C-8CCE-464F-9E26-1EDA12EA830D}" scale="190">
      <selection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95250</xdr:rowOff>
                  </from>
                  <to>
                    <xdr:col>7</xdr:col>
                    <xdr:colOff>47625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7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13"/>
  <sheetViews>
    <sheetView workbookViewId="0">
      <selection activeCell="B7" sqref="B7"/>
    </sheetView>
  </sheetViews>
  <sheetFormatPr defaultRowHeight="15" x14ac:dyDescent="0.25"/>
  <cols>
    <col min="1" max="1" width="49.28515625" customWidth="1"/>
  </cols>
  <sheetData>
    <row r="2" spans="1:5" x14ac:dyDescent="0.25">
      <c r="A2" t="s">
        <v>49</v>
      </c>
      <c r="B2" s="31">
        <v>78.7</v>
      </c>
      <c r="C2" t="s">
        <v>37</v>
      </c>
      <c r="D2" t="s">
        <v>54</v>
      </c>
      <c r="E2" s="3">
        <f>SQRT(B3^2+B9^2/3)</f>
        <v>12.014159547356792</v>
      </c>
    </row>
    <row r="3" spans="1:5" x14ac:dyDescent="0.25">
      <c r="A3" t="s">
        <v>45</v>
      </c>
      <c r="B3" s="3">
        <f>Ioutmax*Vout/(Vin_nominal*(Assumed_Efficiency/100))</f>
        <v>11.963639917896588</v>
      </c>
      <c r="C3" t="s">
        <v>36</v>
      </c>
      <c r="D3" t="s">
        <v>55</v>
      </c>
      <c r="E3" s="3">
        <f>B9/2+B3</f>
        <v>12.916798959290924</v>
      </c>
    </row>
    <row r="4" spans="1:5" x14ac:dyDescent="0.25">
      <c r="A4" t="s">
        <v>47</v>
      </c>
      <c r="B4" s="2">
        <v>40</v>
      </c>
      <c r="C4" t="s">
        <v>37</v>
      </c>
    </row>
    <row r="5" spans="1:5" x14ac:dyDescent="0.25">
      <c r="A5" t="s">
        <v>48</v>
      </c>
      <c r="B5" s="3">
        <f>B3*B4/100</f>
        <v>4.7854559671586347</v>
      </c>
      <c r="C5" t="s">
        <v>36</v>
      </c>
    </row>
    <row r="6" spans="1:5" x14ac:dyDescent="0.25">
      <c r="A6" t="s">
        <v>50</v>
      </c>
      <c r="B6" s="3">
        <f>B2/100*Vin_min^2*(1-Vin_min/Vout)/(B4/100*Fsw_min*1000*(Vout*Ioutmax))*1000000</f>
        <v>0.82858177766386176</v>
      </c>
      <c r="C6" s="1" t="s">
        <v>51</v>
      </c>
    </row>
    <row r="7" spans="1:5" x14ac:dyDescent="0.25">
      <c r="A7" t="s">
        <v>52</v>
      </c>
      <c r="B7" s="2">
        <v>2.08</v>
      </c>
      <c r="C7" s="1" t="s">
        <v>51</v>
      </c>
    </row>
    <row r="8" spans="1:5" x14ac:dyDescent="0.25">
      <c r="A8" t="s">
        <v>121</v>
      </c>
      <c r="B8" s="2">
        <v>3.5</v>
      </c>
      <c r="C8" s="4" t="s">
        <v>120</v>
      </c>
    </row>
    <row r="9" spans="1:5" x14ac:dyDescent="0.25">
      <c r="A9" t="s">
        <v>53</v>
      </c>
      <c r="B9" s="3">
        <f>Vin_min*(1-Vin_min/Vout)/(Fsw_min*B7/1000)</f>
        <v>1.9063180827886712</v>
      </c>
      <c r="C9" s="4" t="s">
        <v>36</v>
      </c>
      <c r="D9" t="str">
        <f>IF(B9&gt;B5,"Inductor smaller than recommended, ripple is higher than requested","")</f>
        <v/>
      </c>
    </row>
    <row r="10" spans="1:5" x14ac:dyDescent="0.25">
      <c r="C10" s="4"/>
    </row>
    <row r="12" spans="1:5" s="5" customFormat="1" hidden="1" x14ac:dyDescent="0.25">
      <c r="A12" s="5" t="s">
        <v>3</v>
      </c>
      <c r="B12" s="7">
        <f>B7/1000000</f>
        <v>2.08E-6</v>
      </c>
    </row>
    <row r="13" spans="1:5" hidden="1" x14ac:dyDescent="0.25">
      <c r="A13" t="s">
        <v>125</v>
      </c>
      <c r="B13">
        <f>B8/1000</f>
        <v>3.5000000000000001E-3</v>
      </c>
    </row>
  </sheetData>
  <sheetProtection password="F725" sheet="1" objects="1" scenarios="1" selectLockedCells="1"/>
  <customSheetViews>
    <customSheetView guid="{25ED444C-8CCE-464F-9E26-1EDA12EA830D}">
      <selection activeCell="B3" sqref="B3"/>
      <pageMargins left="0.7" right="0.7" top="0.75" bottom="0.75" header="0.3" footer="0.3"/>
    </customSheetView>
  </customSheetViews>
  <conditionalFormatting sqref="D9">
    <cfRule type="notContainsBlanks" priority="1">
      <formula>LEN(TRIM(D9))&gt;0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1"/>
  <sheetViews>
    <sheetView workbookViewId="0">
      <selection activeCell="B7" sqref="B7"/>
    </sheetView>
  </sheetViews>
  <sheetFormatPr defaultRowHeight="15" x14ac:dyDescent="0.25"/>
  <cols>
    <col min="1" max="1" width="36.5703125" customWidth="1"/>
    <col min="4" max="4" width="45.7109375" customWidth="1"/>
  </cols>
  <sheetData>
    <row r="2" spans="1:6" x14ac:dyDescent="0.25">
      <c r="A2" t="s">
        <v>56</v>
      </c>
      <c r="B2" s="3">
        <f>IPeakL</f>
        <v>12.916798959290924</v>
      </c>
      <c r="C2" t="s">
        <v>36</v>
      </c>
    </row>
    <row r="3" spans="1:6" x14ac:dyDescent="0.25">
      <c r="A3" t="s">
        <v>57</v>
      </c>
      <c r="B3" s="2">
        <v>18</v>
      </c>
      <c r="C3" t="s">
        <v>36</v>
      </c>
    </row>
    <row r="4" spans="1:6" x14ac:dyDescent="0.25">
      <c r="A4" t="s">
        <v>58</v>
      </c>
      <c r="B4" s="3">
        <f>vcl_min/B3*1000</f>
        <v>10</v>
      </c>
      <c r="C4" t="s">
        <v>60</v>
      </c>
    </row>
    <row r="5" spans="1:6" x14ac:dyDescent="0.25">
      <c r="A5" t="s">
        <v>59</v>
      </c>
      <c r="B5" s="2">
        <v>11</v>
      </c>
      <c r="C5" t="s">
        <v>60</v>
      </c>
      <c r="D5" t="s">
        <v>61</v>
      </c>
      <c r="E5" s="3">
        <f>Dconv_max*IrmsL^2*B5/1000</f>
        <v>0.98066314248172215</v>
      </c>
      <c r="F5" t="s">
        <v>66</v>
      </c>
    </row>
    <row r="6" spans="1:6" x14ac:dyDescent="0.25">
      <c r="A6" t="s">
        <v>64</v>
      </c>
      <c r="B6" s="3">
        <f>vcl_min/(B5/1000)</f>
        <v>16.363636363636363</v>
      </c>
      <c r="C6" t="s">
        <v>36</v>
      </c>
    </row>
    <row r="7" spans="1:6" x14ac:dyDescent="0.25">
      <c r="A7" t="s">
        <v>65</v>
      </c>
      <c r="B7" s="3">
        <f>vcl_max/(B5/1000)</f>
        <v>20</v>
      </c>
      <c r="C7" t="s">
        <v>36</v>
      </c>
    </row>
    <row r="11" spans="1:6" hidden="1" x14ac:dyDescent="0.25">
      <c r="A11" t="s">
        <v>122</v>
      </c>
      <c r="B11" s="13">
        <f>B5/1000</f>
        <v>1.0999999999999999E-2</v>
      </c>
    </row>
  </sheetData>
  <sheetProtection password="F725" sheet="1" objects="1" scenarios="1"/>
  <customSheetViews>
    <customSheetView guid="{25ED444C-8CCE-464F-9E26-1EDA12EA830D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15"/>
  <sheetViews>
    <sheetView workbookViewId="0">
      <selection activeCell="B3" sqref="B3"/>
    </sheetView>
  </sheetViews>
  <sheetFormatPr defaultRowHeight="15" x14ac:dyDescent="0.25"/>
  <cols>
    <col min="1" max="1" width="29" customWidth="1"/>
    <col min="2" max="2" width="9.5703125" customWidth="1"/>
  </cols>
  <sheetData>
    <row r="2" spans="1:3" x14ac:dyDescent="0.25">
      <c r="A2" t="s">
        <v>67</v>
      </c>
      <c r="B2" s="2">
        <f>3*100</f>
        <v>300</v>
      </c>
      <c r="C2" s="1" t="s">
        <v>81</v>
      </c>
    </row>
    <row r="3" spans="1:3" x14ac:dyDescent="0.25">
      <c r="A3" t="s">
        <v>68</v>
      </c>
      <c r="B3" s="2">
        <f>1.25*25/3</f>
        <v>10.416666666666666</v>
      </c>
      <c r="C3" t="s">
        <v>60</v>
      </c>
    </row>
    <row r="4" spans="1:3" x14ac:dyDescent="0.25">
      <c r="A4" t="s">
        <v>84</v>
      </c>
      <c r="B4" s="3">
        <f>Vin_min</f>
        <v>2.6</v>
      </c>
      <c r="C4" t="s">
        <v>35</v>
      </c>
    </row>
    <row r="5" spans="1:3" x14ac:dyDescent="0.25">
      <c r="A5" t="s">
        <v>79</v>
      </c>
      <c r="B5" s="3">
        <f>Ioutmax*Dconv_max/(B2*Fsw_min)+B3*(Ioutmax/(1-Dconv_max)+Iripple/2)</f>
        <v>108.00568139210101</v>
      </c>
      <c r="C5" t="s">
        <v>43</v>
      </c>
    </row>
    <row r="6" spans="1:3" x14ac:dyDescent="0.25">
      <c r="A6" t="s">
        <v>80</v>
      </c>
      <c r="B6" s="3">
        <f>Ioutmax*SQRT(Dconv_max/(1-Dconv_max)+Dconv_max/12*((1-Dconv_max)/(Lo/(Rout*Tsw)))^2)</f>
        <v>4.6187156457142491</v>
      </c>
      <c r="C6" t="s">
        <v>36</v>
      </c>
    </row>
    <row r="14" spans="1:3" hidden="1" x14ac:dyDescent="0.25">
      <c r="A14" t="s">
        <v>4</v>
      </c>
      <c r="C14" s="8">
        <f>B2*10^-6</f>
        <v>2.9999999999999997E-4</v>
      </c>
    </row>
    <row r="15" spans="1:3" hidden="1" x14ac:dyDescent="0.25">
      <c r="A15" t="s">
        <v>5</v>
      </c>
      <c r="C15" s="8">
        <f>B3*10^-3</f>
        <v>1.0416666666666666E-2</v>
      </c>
    </row>
  </sheetData>
  <sheetProtection password="F725" sheet="1" objects="1" scenarios="1" selectLockedCells="1"/>
  <customSheetViews>
    <customSheetView guid="{25ED444C-8CCE-464F-9E26-1EDA12EA830D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6"/>
  <sheetViews>
    <sheetView workbookViewId="0">
      <selection activeCell="B4" sqref="B4"/>
    </sheetView>
  </sheetViews>
  <sheetFormatPr defaultRowHeight="15" x14ac:dyDescent="0.25"/>
  <cols>
    <col min="1" max="1" width="26.7109375" customWidth="1"/>
  </cols>
  <sheetData>
    <row r="2" spans="1:3" x14ac:dyDescent="0.25">
      <c r="A2" t="s">
        <v>69</v>
      </c>
      <c r="B2" s="2"/>
      <c r="C2" s="1" t="s">
        <v>81</v>
      </c>
    </row>
    <row r="3" spans="1:3" x14ac:dyDescent="0.25">
      <c r="A3" t="s">
        <v>68</v>
      </c>
      <c r="B3" s="2"/>
      <c r="C3" t="s">
        <v>60</v>
      </c>
    </row>
    <row r="4" spans="1:3" x14ac:dyDescent="0.25">
      <c r="A4" t="s">
        <v>84</v>
      </c>
      <c r="B4" s="3"/>
      <c r="C4" t="s">
        <v>35</v>
      </c>
    </row>
    <row r="5" spans="1:3" x14ac:dyDescent="0.25">
      <c r="A5" t="s">
        <v>82</v>
      </c>
      <c r="B5" s="3"/>
      <c r="C5" t="s">
        <v>43</v>
      </c>
    </row>
    <row r="6" spans="1:3" x14ac:dyDescent="0.25">
      <c r="A6" t="s">
        <v>83</v>
      </c>
      <c r="B6" s="3"/>
      <c r="C6" t="s">
        <v>36</v>
      </c>
    </row>
  </sheetData>
  <customSheetViews>
    <customSheetView guid="{25ED444C-8CCE-464F-9E26-1EDA12EA830D}">
      <selection activeCell="A19" sqref="A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"/>
  <sheetViews>
    <sheetView workbookViewId="0">
      <selection activeCell="B1" sqref="B1"/>
    </sheetView>
  </sheetViews>
  <sheetFormatPr defaultRowHeight="15" x14ac:dyDescent="0.25"/>
  <cols>
    <col min="1" max="1" width="24" customWidth="1"/>
  </cols>
  <sheetData>
    <row r="1" spans="1:3" x14ac:dyDescent="0.25">
      <c r="A1" t="s">
        <v>75</v>
      </c>
      <c r="B1" s="2">
        <v>0.7</v>
      </c>
      <c r="C1" t="s">
        <v>35</v>
      </c>
    </row>
    <row r="2" spans="1:3" x14ac:dyDescent="0.25">
      <c r="A2" t="s">
        <v>77</v>
      </c>
      <c r="B2" s="3">
        <f>Vout</f>
        <v>6.8</v>
      </c>
      <c r="C2" t="s">
        <v>35</v>
      </c>
    </row>
    <row r="3" spans="1:3" x14ac:dyDescent="0.25">
      <c r="A3" t="s">
        <v>78</v>
      </c>
      <c r="B3" s="3">
        <f>Ioutmax</f>
        <v>3.6</v>
      </c>
      <c r="C3" t="s">
        <v>36</v>
      </c>
    </row>
    <row r="4" spans="1:3" x14ac:dyDescent="0.25">
      <c r="A4" t="s">
        <v>56</v>
      </c>
      <c r="B4" s="3">
        <f>IPeakL</f>
        <v>12.916798959290924</v>
      </c>
      <c r="C4" t="s">
        <v>36</v>
      </c>
    </row>
    <row r="5" spans="1:3" x14ac:dyDescent="0.25">
      <c r="A5" t="s">
        <v>76</v>
      </c>
      <c r="B5" s="3">
        <f>B3*Vf</f>
        <v>2.52</v>
      </c>
      <c r="C5" t="s">
        <v>66</v>
      </c>
    </row>
  </sheetData>
  <sheetProtection password="F725" sheet="1" objects="1" scenarios="1" selectLockedCells="1"/>
  <customSheetViews>
    <customSheetView guid="{25ED444C-8CCE-464F-9E26-1EDA12EA830D}">
      <selection activeCell="B6" sqref="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3"/>
  <sheetViews>
    <sheetView workbookViewId="0">
      <selection activeCell="B5" sqref="B5"/>
    </sheetView>
  </sheetViews>
  <sheetFormatPr defaultRowHeight="15" x14ac:dyDescent="0.25"/>
  <cols>
    <col min="1" max="1" width="21.28515625" customWidth="1"/>
  </cols>
  <sheetData>
    <row r="1" spans="1:4" x14ac:dyDescent="0.25">
      <c r="A1" t="s">
        <v>119</v>
      </c>
      <c r="B1" s="2">
        <v>11</v>
      </c>
      <c r="C1" t="s">
        <v>85</v>
      </c>
      <c r="D1" t="str">
        <f>IF(B1*10^-9*Fsw_max*10^3&gt;45*10^-3,"Gate Charge is higher than vdrv capability at this frequency", "")</f>
        <v/>
      </c>
    </row>
    <row r="2" spans="1:4" x14ac:dyDescent="0.25">
      <c r="A2" t="s">
        <v>74</v>
      </c>
      <c r="B2" s="2">
        <v>20</v>
      </c>
      <c r="C2" t="s">
        <v>60</v>
      </c>
    </row>
    <row r="3" spans="1:4" x14ac:dyDescent="0.25">
      <c r="A3" t="s">
        <v>70</v>
      </c>
      <c r="B3" s="3">
        <f>MAX(Vout+Vf,Vin_max)</f>
        <v>7.5</v>
      </c>
      <c r="C3" t="s">
        <v>35</v>
      </c>
    </row>
    <row r="4" spans="1:4" x14ac:dyDescent="0.25">
      <c r="A4" t="s">
        <v>86</v>
      </c>
      <c r="B4" s="2">
        <v>14</v>
      </c>
      <c r="C4" t="s">
        <v>88</v>
      </c>
    </row>
    <row r="5" spans="1:4" x14ac:dyDescent="0.25">
      <c r="A5" t="s">
        <v>87</v>
      </c>
      <c r="B5" s="2">
        <v>18</v>
      </c>
      <c r="C5" t="s">
        <v>88</v>
      </c>
    </row>
    <row r="6" spans="1:4" x14ac:dyDescent="0.25">
      <c r="A6" t="s">
        <v>72</v>
      </c>
      <c r="B6" s="3">
        <f>(B4*10^-9*(IavgL-Iripple/2)+B5*10^-9*(IavgL+Iripple/2))*Fsw_min*10^3*Vin_max</f>
        <v>0.40714151655579639</v>
      </c>
      <c r="C6" t="s">
        <v>66</v>
      </c>
    </row>
    <row r="7" spans="1:4" x14ac:dyDescent="0.25">
      <c r="A7" t="s">
        <v>73</v>
      </c>
      <c r="B7" s="3">
        <f>IrmsL^2*Dconv_max*B2*10^-3</f>
        <v>1.7830238954213131</v>
      </c>
      <c r="C7" t="s">
        <v>66</v>
      </c>
    </row>
    <row r="8" spans="1:4" x14ac:dyDescent="0.25">
      <c r="A8" t="s">
        <v>71</v>
      </c>
      <c r="B8" s="3">
        <f>B7+B6</f>
        <v>2.1901654119771097</v>
      </c>
      <c r="C8" t="s">
        <v>66</v>
      </c>
    </row>
    <row r="13" spans="1:4" hidden="1" x14ac:dyDescent="0.25">
      <c r="A13" t="s">
        <v>124</v>
      </c>
      <c r="B13">
        <f>B2/1000</f>
        <v>0.02</v>
      </c>
    </row>
  </sheetData>
  <sheetProtection password="F725" sheet="1" objects="1" scenarios="1" selectLockedCells="1"/>
  <customSheetViews>
    <customSheetView guid="{25ED444C-8CCE-464F-9E26-1EDA12EA830D}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53</vt:i4>
      </vt:variant>
    </vt:vector>
  </HeadingPairs>
  <TitlesOfParts>
    <vt:vector size="66" baseType="lpstr">
      <vt:lpstr>1. Introduction</vt:lpstr>
      <vt:lpstr>2. Design Parameters</vt:lpstr>
      <vt:lpstr>3. Feedback Resistors</vt:lpstr>
      <vt:lpstr>3. Boost Inductor</vt:lpstr>
      <vt:lpstr>4. Current Sense Resistor</vt:lpstr>
      <vt:lpstr>5. Output Capacitors</vt:lpstr>
      <vt:lpstr>Input Capacitor</vt:lpstr>
      <vt:lpstr>6. Diode</vt:lpstr>
      <vt:lpstr>7. MOSFET</vt:lpstr>
      <vt:lpstr>8. Loop Compensation</vt:lpstr>
      <vt:lpstr>Design Information</vt:lpstr>
      <vt:lpstr>Calculations</vt:lpstr>
      <vt:lpstr>Sheet1</vt:lpstr>
      <vt:lpstr>Assumed_Efficiency</vt:lpstr>
      <vt:lpstr>C0</vt:lpstr>
      <vt:lpstr>Co</vt:lpstr>
      <vt:lpstr>comp_C1</vt:lpstr>
      <vt:lpstr>comp_C2</vt:lpstr>
      <vt:lpstr>comp_R2</vt:lpstr>
      <vt:lpstr>D_</vt:lpstr>
      <vt:lpstr>Dconv_max</vt:lpstr>
      <vt:lpstr>Dmax</vt:lpstr>
      <vt:lpstr>Dmax_min</vt:lpstr>
      <vt:lpstr>Dmax_nom</vt:lpstr>
      <vt:lpstr>Dp</vt:lpstr>
      <vt:lpstr>Fsw_max</vt:lpstr>
      <vt:lpstr>Fsw_min</vt:lpstr>
      <vt:lpstr>Fsw_nom</vt:lpstr>
      <vt:lpstr>gm</vt:lpstr>
      <vt:lpstr>IavgL</vt:lpstr>
      <vt:lpstr>Ioutmax</vt:lpstr>
      <vt:lpstr>IPeakL</vt:lpstr>
      <vt:lpstr>Iripple</vt:lpstr>
      <vt:lpstr>IrmsL</vt:lpstr>
      <vt:lpstr>Lo</vt:lpstr>
      <vt:lpstr>M_IC</vt:lpstr>
      <vt:lpstr>mc</vt:lpstr>
      <vt:lpstr>PartNumber</vt:lpstr>
      <vt:lpstr>R0</vt:lpstr>
      <vt:lpstr>rCf</vt:lpstr>
      <vt:lpstr>Rfet</vt:lpstr>
      <vt:lpstr>'4. Current Sense Resistor'!Ri</vt:lpstr>
      <vt:lpstr>Ri</vt:lpstr>
      <vt:lpstr>rL</vt:lpstr>
      <vt:lpstr>Rlower</vt:lpstr>
      <vt:lpstr>Rotaesd</vt:lpstr>
      <vt:lpstr>Rout</vt:lpstr>
      <vt:lpstr>Rsw_eq</vt:lpstr>
      <vt:lpstr>Rupper</vt:lpstr>
      <vt:lpstr>SC_nom</vt:lpstr>
      <vt:lpstr>Se</vt:lpstr>
      <vt:lpstr>Sn</vt:lpstr>
      <vt:lpstr>Tsw</vt:lpstr>
      <vt:lpstr>vcl_max</vt:lpstr>
      <vt:lpstr>vcl_min</vt:lpstr>
      <vt:lpstr>vcl_nom</vt:lpstr>
      <vt:lpstr>Vdrv_nom</vt:lpstr>
      <vt:lpstr>Vf</vt:lpstr>
      <vt:lpstr>Vin_max</vt:lpstr>
      <vt:lpstr>Vin_min</vt:lpstr>
      <vt:lpstr>Vin_nominal</vt:lpstr>
      <vt:lpstr>Vout</vt:lpstr>
      <vt:lpstr>wp1e</vt:lpstr>
      <vt:lpstr>wp2e</vt:lpstr>
      <vt:lpstr>wz1e</vt:lpstr>
      <vt:lpstr>wz2e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Laprade</dc:creator>
  <cp:lastModifiedBy>Alain Laprade</cp:lastModifiedBy>
  <dcterms:created xsi:type="dcterms:W3CDTF">2006-09-16T00:00:00Z</dcterms:created>
  <dcterms:modified xsi:type="dcterms:W3CDTF">2016-11-11T19:32:18Z</dcterms:modified>
</cp:coreProperties>
</file>