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45" windowWidth="25755" windowHeight="11700"/>
  </bookViews>
  <sheets>
    <sheet name="Worksheet Information" sheetId="1" r:id="rId1"/>
    <sheet name="Hidden" sheetId="4" state="hidden" r:id="rId2"/>
    <sheet name="XFMR" sheetId="5" r:id="rId3"/>
  </sheets>
  <definedNames>
    <definedName name="Vin">'Worksheet Information'!#REF!</definedName>
  </definedNames>
  <calcPr calcId="145621"/>
</workbook>
</file>

<file path=xl/calcChain.xml><?xml version="1.0" encoding="utf-8"?>
<calcChain xmlns="http://schemas.openxmlformats.org/spreadsheetml/2006/main">
  <c r="D10" i="5" l="1"/>
  <c r="B10" i="5"/>
  <c r="C29" i="1" l="1"/>
  <c r="C30" i="1" l="1"/>
  <c r="E12" i="1"/>
  <c r="E15" i="1"/>
  <c r="H44" i="1" l="1"/>
  <c r="C32" i="1" l="1"/>
  <c r="B44" i="1"/>
  <c r="C25" i="1" l="1"/>
  <c r="C24" i="1"/>
  <c r="B6" i="4"/>
  <c r="F5" i="4" s="1"/>
  <c r="G5" i="4" s="1"/>
  <c r="B5" i="4"/>
  <c r="B35" i="1"/>
  <c r="B36" i="1"/>
  <c r="B37" i="1" s="1"/>
  <c r="H5" i="4" l="1"/>
  <c r="J5" i="4" s="1"/>
  <c r="D6" i="4"/>
  <c r="F6" i="4" s="1"/>
  <c r="G6" i="4" s="1"/>
  <c r="H6" i="4" s="1"/>
  <c r="J6" i="4" s="1"/>
  <c r="B39" i="1"/>
  <c r="B46" i="1" s="1"/>
  <c r="F7" i="4" l="1"/>
  <c r="G7" i="4" s="1"/>
  <c r="H7" i="4" s="1"/>
  <c r="J7" i="4" s="1"/>
  <c r="K7" i="4" s="1"/>
  <c r="I6" i="4"/>
  <c r="K6" i="4"/>
  <c r="I5" i="4"/>
  <c r="K5" i="4"/>
  <c r="B40" i="1"/>
  <c r="B45" i="1" s="1"/>
  <c r="F8" i="4" l="1"/>
  <c r="G8" i="4" s="1"/>
  <c r="H8" i="4" s="1"/>
  <c r="B41" i="1"/>
  <c r="B38" i="1" s="1"/>
  <c r="C7" i="5"/>
  <c r="C10" i="5" s="1"/>
  <c r="D7" i="5"/>
  <c r="B7" i="5"/>
  <c r="L6" i="4"/>
  <c r="I7" i="4"/>
  <c r="L7" i="4" s="1"/>
  <c r="L5" i="4"/>
  <c r="F9" i="4" l="1"/>
  <c r="F10" i="4" s="1"/>
  <c r="D9" i="5"/>
  <c r="D8" i="5"/>
  <c r="B9" i="5"/>
  <c r="B8" i="5"/>
  <c r="C8" i="5"/>
  <c r="C9" i="5"/>
  <c r="J8" i="4"/>
  <c r="K8" i="4" s="1"/>
  <c r="I8" i="4"/>
  <c r="G9" i="4" l="1"/>
  <c r="H9" i="4" s="1"/>
  <c r="J9" i="4" s="1"/>
  <c r="K9" i="4" s="1"/>
  <c r="L8" i="4"/>
  <c r="G10" i="4"/>
  <c r="H10" i="4" s="1"/>
  <c r="F11" i="4"/>
  <c r="I9" i="4" l="1"/>
  <c r="L9" i="4" s="1"/>
  <c r="F12" i="4"/>
  <c r="G11" i="4"/>
  <c r="H11" i="4" s="1"/>
  <c r="J10" i="4"/>
  <c r="K10" i="4" s="1"/>
  <c r="I10" i="4"/>
  <c r="L10" i="4" l="1"/>
  <c r="J11" i="4"/>
  <c r="K11" i="4" s="1"/>
  <c r="I11" i="4"/>
  <c r="G12" i="4"/>
  <c r="H12" i="4" s="1"/>
  <c r="F13" i="4"/>
  <c r="L11" i="4" l="1"/>
  <c r="F14" i="4"/>
  <c r="G13" i="4"/>
  <c r="H13" i="4" s="1"/>
  <c r="J12" i="4"/>
  <c r="K12" i="4" s="1"/>
  <c r="I12" i="4"/>
  <c r="L12" i="4" l="1"/>
  <c r="J13" i="4"/>
  <c r="K13" i="4" s="1"/>
  <c r="I13" i="4"/>
  <c r="G14" i="4"/>
  <c r="H14" i="4" s="1"/>
  <c r="F15" i="4"/>
  <c r="G15" i="4" s="1"/>
  <c r="H15" i="4" s="1"/>
  <c r="L13" i="4" l="1"/>
  <c r="J15" i="4"/>
  <c r="K15" i="4" s="1"/>
  <c r="I15" i="4"/>
  <c r="J14" i="4"/>
  <c r="K14" i="4" s="1"/>
  <c r="I14" i="4"/>
  <c r="L14" i="4" l="1"/>
  <c r="L15" i="4"/>
</calcChain>
</file>

<file path=xl/comments1.xml><?xml version="1.0" encoding="utf-8"?>
<comments xmlns="http://schemas.openxmlformats.org/spreadsheetml/2006/main">
  <authors>
    <author>FFXBQG</author>
    <author>Jim Young</author>
  </authors>
  <commentList>
    <comment ref="A7" authorId="0">
      <text>
        <r>
          <rPr>
            <b/>
            <sz val="10"/>
            <color indexed="81"/>
            <rFont val="Tahoma"/>
            <family val="2"/>
          </rPr>
          <t>Enter minimum input voltage for full performance.</t>
        </r>
      </text>
    </comment>
    <comment ref="A9" authorId="1">
      <text>
        <r>
          <rPr>
            <b/>
            <sz val="10"/>
            <color indexed="81"/>
            <rFont val="Tahoma"/>
            <family val="2"/>
          </rPr>
          <t>Switching frequency at minimum operating input voltage. Select a frequency to limit maximum frequency as shown in graph for EMI control.</t>
        </r>
      </text>
    </comment>
    <comment ref="A10" authorId="0">
      <text>
        <r>
          <rPr>
            <b/>
            <sz val="10"/>
            <color indexed="81"/>
            <rFont val="Tahoma"/>
            <family val="2"/>
          </rPr>
          <t>Efficiency term does not include losses in EMI filter and input rectifiers.  Enter a number ~1% higher than expected system efficiency.</t>
        </r>
      </text>
    </comment>
    <comment ref="B16" authorId="0">
      <text>
        <r>
          <rPr>
            <b/>
            <sz val="10"/>
            <color indexed="81"/>
            <rFont val="Tahoma"/>
            <family val="2"/>
          </rPr>
          <t>This resistor connects the primary current sense resistor to the CS/ZCD control pin.  It establishes the divider ratio for OVP threshold.</t>
        </r>
        <r>
          <rPr>
            <sz val="10"/>
            <color indexed="81"/>
            <rFont val="Tahoma"/>
            <family val="2"/>
          </rPr>
          <t xml:space="preserve">
</t>
        </r>
      </text>
    </comment>
    <comment ref="C24" authorId="1">
      <text>
        <r>
          <rPr>
            <b/>
            <sz val="10"/>
            <color indexed="81"/>
            <rFont val="Tahoma"/>
            <family val="2"/>
          </rPr>
          <t>Expressed as Primary to Main Secondary turns; Pri:Sec</t>
        </r>
      </text>
    </comment>
    <comment ref="A26" authorId="1">
      <text>
        <r>
          <rPr>
            <b/>
            <sz val="10"/>
            <color indexed="81"/>
            <rFont val="Tahoma"/>
            <family val="2"/>
          </rPr>
          <t>Enter the desired turns ratio between the maximum and minimum values above. Ratio selected may vary depending on transformer design parameters.</t>
        </r>
      </text>
    </comment>
    <comment ref="C29" authorId="0">
      <text>
        <r>
          <rPr>
            <b/>
            <sz val="10"/>
            <color indexed="81"/>
            <rFont val="Tahoma"/>
            <family val="2"/>
          </rPr>
          <t xml:space="preserve">The maximum ratio is set by the Minimum LED voltage.  This is the maximum ratio required to keep the DSS function off.  </t>
        </r>
      </text>
    </comment>
    <comment ref="C30" authorId="0">
      <text>
        <r>
          <rPr>
            <b/>
            <sz val="10"/>
            <color indexed="81"/>
            <rFont val="Tahoma"/>
            <charset val="1"/>
          </rPr>
          <t>Minimum bias winding ratio to limit bias winding voltage:                      ---&gt;below Vcc over voltage threshold if no bias regulator is used        ---&gt;below 80 volts at the input of the bias regulator if a regulator is required.  A lower winding ratio will degrade efficiency.</t>
        </r>
      </text>
    </comment>
    <comment ref="A31" authorId="0">
      <text>
        <r>
          <rPr>
            <b/>
            <sz val="10"/>
            <color indexed="81"/>
            <rFont val="Tahoma"/>
            <charset val="1"/>
          </rPr>
          <t>Enter the desired turns ratio between the maximum and minimum values above. Ratio selected may vary depending on transformer design parameters.</t>
        </r>
        <r>
          <rPr>
            <sz val="10"/>
            <color indexed="81"/>
            <rFont val="Tahoma"/>
            <charset val="1"/>
          </rPr>
          <t xml:space="preserve">
</t>
        </r>
      </text>
    </comment>
    <comment ref="B32" authorId="0">
      <text>
        <r>
          <rPr>
            <b/>
            <sz val="10"/>
            <color indexed="81"/>
            <rFont val="Tahoma"/>
            <family val="2"/>
          </rPr>
          <t>The bias turns ratio scales the secondary output voltage. This voltage is the minimum output voltage which will prevent the DSS from activating. The controller will continue to operate below this output voltage, but efficiency will be reduced.</t>
        </r>
        <r>
          <rPr>
            <sz val="10"/>
            <color indexed="81"/>
            <rFont val="Tahoma"/>
            <family val="2"/>
          </rPr>
          <t xml:space="preserve">
</t>
        </r>
      </text>
    </comment>
    <comment ref="A35" authorId="1">
      <text>
        <r>
          <rPr>
            <b/>
            <sz val="10"/>
            <color indexed="81"/>
            <rFont val="Tahoma"/>
            <family val="2"/>
          </rPr>
          <t>Peak power at the peak of the rectified sine wave input voltage. The transformer must support this peak power.</t>
        </r>
      </text>
    </comment>
    <comment ref="A36" authorId="1">
      <text>
        <r>
          <rPr>
            <b/>
            <sz val="10"/>
            <color indexed="81"/>
            <rFont val="Tahoma"/>
            <family val="2"/>
          </rPr>
          <t>Peak of the rectified sine wave input voltage at the minimum input voltage shown at top of the page.</t>
        </r>
      </text>
    </comment>
    <comment ref="A44" authorId="0">
      <text>
        <r>
          <rPr>
            <b/>
            <sz val="10"/>
            <color indexed="81"/>
            <rFont val="Tahoma"/>
            <family val="2"/>
          </rPr>
          <t>RZCD is the resistor linking the bias winding to the CS/ZCD pin.  Avoid excessive values to prevent problems detecting transformer demagnetization.</t>
        </r>
      </text>
    </comment>
    <comment ref="E44" authorId="0">
      <text>
        <r>
          <rPr>
            <b/>
            <sz val="10"/>
            <color indexed="81"/>
            <rFont val="Tahoma"/>
            <family val="2"/>
          </rPr>
          <t>Select a standard value resistor based on calculated value shown on the left.</t>
        </r>
      </text>
    </comment>
    <comment ref="H44" authorId="0">
      <text>
        <r>
          <rPr>
            <b/>
            <sz val="10"/>
            <color indexed="81"/>
            <rFont val="Tahoma"/>
            <family val="2"/>
          </rPr>
          <t>Shown is the actual Over Voltage Threshold determined by the value selected for R7.</t>
        </r>
      </text>
    </comment>
    <comment ref="A45" authorId="0">
      <text>
        <r>
          <rPr>
            <b/>
            <sz val="10"/>
            <color indexed="81"/>
            <rFont val="Tahoma"/>
            <family val="2"/>
          </rPr>
          <t>Rsense is the current sense resistor in series with the MOSFET.</t>
        </r>
      </text>
    </comment>
    <comment ref="B45" authorId="0">
      <text>
        <r>
          <rPr>
            <b/>
            <sz val="10"/>
            <color indexed="81"/>
            <rFont val="Tahoma"/>
            <family val="2"/>
          </rPr>
          <t>Resistor value includes 15% margin on peak current.</t>
        </r>
      </text>
    </comment>
    <comment ref="B46" authorId="0">
      <text>
        <r>
          <rPr>
            <b/>
            <sz val="10"/>
            <color indexed="81"/>
            <rFont val="Tahoma"/>
            <family val="2"/>
          </rPr>
          <t>RT sets the MOSFET maximum on-time.  It limits the power delivered by the converter.  Resistor value includes 5% margin on Minimum operating input voltage shown in Input Data above.</t>
        </r>
      </text>
    </comment>
  </commentList>
</comments>
</file>

<file path=xl/comments2.xml><?xml version="1.0" encoding="utf-8"?>
<comments xmlns="http://schemas.openxmlformats.org/spreadsheetml/2006/main">
  <authors>
    <author>Jim Young</author>
  </authors>
  <commentList>
    <comment ref="B4" authorId="0">
      <text>
        <r>
          <rPr>
            <b/>
            <sz val="10"/>
            <color indexed="81"/>
            <rFont val="Tahoma"/>
            <family val="2"/>
          </rPr>
          <t xml:space="preserve">Example core vendor: Ferroxcube http://www.ferroxcube.com/
</t>
        </r>
      </text>
    </comment>
    <comment ref="C4" authorId="0">
      <text>
        <r>
          <rPr>
            <b/>
            <sz val="10"/>
            <color indexed="81"/>
            <rFont val="Tahoma"/>
            <family val="2"/>
          </rPr>
          <t>Example core vendor: Ferroxcube http://www.ferroxcube.com/</t>
        </r>
      </text>
    </comment>
    <comment ref="D4" authorId="0">
      <text>
        <r>
          <rPr>
            <b/>
            <sz val="10"/>
            <color indexed="81"/>
            <rFont val="Tahoma"/>
            <family val="2"/>
          </rPr>
          <t>Enter core cross section area and maximum flux density for an alternate transformer core.</t>
        </r>
      </text>
    </comment>
    <comment ref="B6" authorId="0">
      <text>
        <r>
          <rPr>
            <b/>
            <sz val="10"/>
            <color indexed="81"/>
            <rFont val="Tahoma"/>
            <family val="2"/>
          </rPr>
          <t>Max flux density occurs only at the peak of the rectified sine wave input. Higher flux levels are acceptable due to minimum dwell time.</t>
        </r>
      </text>
    </comment>
    <comment ref="A10" authorId="0">
      <text>
        <r>
          <rPr>
            <b/>
            <sz val="10"/>
            <color indexed="81"/>
            <rFont val="Tahoma"/>
            <family val="2"/>
          </rPr>
          <t>Bias winding turns is scaled for losses in primary regulator and coupling to main output winding. Turns shown should be considered a design starting point.</t>
        </r>
      </text>
    </comment>
  </commentList>
</comments>
</file>

<file path=xl/sharedStrings.xml><?xml version="1.0" encoding="utf-8"?>
<sst xmlns="http://schemas.openxmlformats.org/spreadsheetml/2006/main" count="119" uniqueCount="94">
  <si>
    <t>ON time</t>
  </si>
  <si>
    <t>Transformer Design</t>
  </si>
  <si>
    <t>Core area</t>
  </si>
  <si>
    <t>Primary turns</t>
  </si>
  <si>
    <t>turns</t>
  </si>
  <si>
    <t>inches</t>
  </si>
  <si>
    <t>Secondary turns</t>
  </si>
  <si>
    <t>OFF time</t>
  </si>
  <si>
    <t>Gauss</t>
  </si>
  <si>
    <t>Min peak voltage</t>
  </si>
  <si>
    <t>Peak power</t>
  </si>
  <si>
    <t>EFD25</t>
  </si>
  <si>
    <t>EFD20</t>
  </si>
  <si>
    <t>Custom</t>
  </si>
  <si>
    <t>Maximum ratio</t>
  </si>
  <si>
    <t>Minimum ratio</t>
  </si>
  <si>
    <t>Core type</t>
  </si>
  <si>
    <t>Enter Design Data</t>
  </si>
  <si>
    <t>Enter Power Switch and Output Rectifier ratings</t>
  </si>
  <si>
    <t>Derating factor</t>
  </si>
  <si>
    <t>Enter desired ratio</t>
  </si>
  <si>
    <t>Bias winding turns</t>
  </si>
  <si>
    <t>Design Calculations</t>
  </si>
  <si>
    <t>kHz</t>
  </si>
  <si>
    <t>mA</t>
  </si>
  <si>
    <t>V rms</t>
  </si>
  <si>
    <t>V dc</t>
  </si>
  <si>
    <t>LED Current</t>
  </si>
  <si>
    <t>V</t>
  </si>
  <si>
    <t>W</t>
  </si>
  <si>
    <t>A</t>
  </si>
  <si>
    <r>
      <t>cm</t>
    </r>
    <r>
      <rPr>
        <b/>
        <sz val="10"/>
        <rFont val="Arial"/>
        <family val="2"/>
      </rPr>
      <t>²</t>
    </r>
  </si>
  <si>
    <t>Graph10 points</t>
  </si>
  <si>
    <t>:1</t>
  </si>
  <si>
    <t>Switching frequency</t>
  </si>
  <si>
    <t xml:space="preserve"> </t>
  </si>
  <si>
    <t>Max in</t>
  </si>
  <si>
    <t>Min in</t>
  </si>
  <si>
    <t>Peak</t>
  </si>
  <si>
    <t xml:space="preserve">in V </t>
  </si>
  <si>
    <t>RMS data</t>
  </si>
  <si>
    <t>points</t>
  </si>
  <si>
    <t>Primary</t>
  </si>
  <si>
    <t>current</t>
  </si>
  <si>
    <t xml:space="preserve">On  </t>
  </si>
  <si>
    <t>Time</t>
  </si>
  <si>
    <t>Secondary</t>
  </si>
  <si>
    <t xml:space="preserve">Off   </t>
  </si>
  <si>
    <t>time</t>
  </si>
  <si>
    <t>Switching</t>
  </si>
  <si>
    <t>frequency</t>
  </si>
  <si>
    <t>Primary Inductance</t>
  </si>
  <si>
    <t xml:space="preserve">Note that this is a general tool to assist designers in using the controller: the output is a  </t>
  </si>
  <si>
    <t>guideline and does not guarantee the success of a particular system design.</t>
  </si>
  <si>
    <t>Minimum LED voltage</t>
  </si>
  <si>
    <t>Maximum LED power</t>
  </si>
  <si>
    <t>FET voltge rating</t>
  </si>
  <si>
    <t>Diode voltage rating</t>
  </si>
  <si>
    <t>Peak primary current</t>
  </si>
  <si>
    <t>Peak secondary current</t>
  </si>
  <si>
    <t>Maximum flux density</t>
  </si>
  <si>
    <t>Total core gap</t>
  </si>
  <si>
    <t>User inputs in green</t>
  </si>
  <si>
    <r>
      <t>μ</t>
    </r>
    <r>
      <rPr>
        <b/>
        <sz val="10"/>
        <rFont val="Arial"/>
        <family val="2"/>
      </rPr>
      <t>H</t>
    </r>
  </si>
  <si>
    <t>Estimated efficiency</t>
  </si>
  <si>
    <t>%</t>
  </si>
  <si>
    <t>Min operating input</t>
  </si>
  <si>
    <t>Max operating input</t>
  </si>
  <si>
    <t>Maximum OVP voltage</t>
  </si>
  <si>
    <t>Nominal LED voltage</t>
  </si>
  <si>
    <t>Ohms</t>
  </si>
  <si>
    <t>Maximum bias ratio</t>
  </si>
  <si>
    <t>Actual OVP threshold</t>
  </si>
  <si>
    <t>Rsense</t>
  </si>
  <si>
    <t>Max LED voltage</t>
  </si>
  <si>
    <t>Vdc</t>
  </si>
  <si>
    <t>DSS</t>
  </si>
  <si>
    <t>Min Vout to disable the</t>
  </si>
  <si>
    <t>Control Parameters</t>
  </si>
  <si>
    <t>(Referenced to Typical Application Diagram)</t>
  </si>
  <si>
    <t>RCS</t>
  </si>
  <si>
    <t>Transformer primary to main secondary turns ratio</t>
  </si>
  <si>
    <t>Transformer primary to bias winding turns ratio</t>
  </si>
  <si>
    <t>Minimum bias ratio with regulator</t>
  </si>
  <si>
    <t>RZCD</t>
  </si>
  <si>
    <t>RT</t>
  </si>
  <si>
    <t>μsec</t>
  </si>
  <si>
    <t>Select value for R7</t>
  </si>
  <si>
    <t>Circuit Values (Referenced to Figure 1: Typical Application Diagram in NCL30060 specification)</t>
  </si>
  <si>
    <t>Select closest standard value</t>
  </si>
  <si>
    <t>Based on ratio of 'Maximum OVP voltage' to Minimum LED voltage':</t>
  </si>
  <si>
    <t>NCL30060 Transformer Design Worksheet</t>
  </si>
  <si>
    <t>Rev 1.2 - August 2015</t>
  </si>
  <si>
    <t>Rev 1.2 -August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</si>
</sst>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0"/>
    <numFmt numFmtId="166" formatCode="0.000"/>
  </numFmts>
  <fonts count="17" x14ac:knownFonts="1">
    <font>
      <sz val="10"/>
      <name val="Arial"/>
    </font>
    <font>
      <sz val="8"/>
      <name val="Arial"/>
      <family val="2"/>
    </font>
    <font>
      <b/>
      <sz val="10"/>
      <name val="Arial"/>
      <family val="2"/>
    </font>
    <font>
      <b/>
      <sz val="16"/>
      <name val="Arial"/>
      <family val="2"/>
    </font>
    <font>
      <b/>
      <sz val="10"/>
      <color indexed="81"/>
      <name val="Tahoma"/>
      <family val="2"/>
    </font>
    <font>
      <b/>
      <sz val="10"/>
      <name val="Arial"/>
      <family val="2"/>
    </font>
    <font>
      <b/>
      <i/>
      <sz val="10"/>
      <name val="Arial"/>
      <family val="2"/>
    </font>
    <font>
      <b/>
      <sz val="10"/>
      <color indexed="17"/>
      <name val="Arial"/>
      <family val="2"/>
    </font>
    <font>
      <b/>
      <sz val="10"/>
      <color indexed="61"/>
      <name val="Arial"/>
      <family val="2"/>
    </font>
    <font>
      <sz val="10"/>
      <name val="Arial"/>
      <family val="2"/>
    </font>
    <font>
      <b/>
      <sz val="10"/>
      <color rgb="FF008000"/>
      <name val="Arial"/>
      <family val="2"/>
    </font>
    <font>
      <sz val="10"/>
      <color indexed="81"/>
      <name val="Tahoma"/>
      <charset val="1"/>
    </font>
    <font>
      <b/>
      <sz val="10"/>
      <color indexed="81"/>
      <name val="Tahoma"/>
      <charset val="1"/>
    </font>
    <font>
      <b/>
      <sz val="10"/>
      <color theme="5" tint="-0.249977111117893"/>
      <name val="Arial"/>
      <family val="2"/>
    </font>
    <font>
      <sz val="10"/>
      <color indexed="81"/>
      <name val="Tahoma"/>
      <family val="2"/>
    </font>
    <font>
      <b/>
      <sz val="10"/>
      <color rgb="FF993366"/>
      <name val="Arial"/>
      <family val="2"/>
    </font>
    <font>
      <b/>
      <sz val="10"/>
      <color rgb="FFFF0000"/>
      <name val="Arial"/>
      <family val="2"/>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20">
    <border>
      <left/>
      <right/>
      <top/>
      <bottom/>
      <diagonal/>
    </border>
    <border>
      <left/>
      <right style="medium">
        <color indexed="64"/>
      </right>
      <top/>
      <bottom/>
      <diagonal/>
    </border>
    <border>
      <left style="thick">
        <color indexed="8"/>
      </left>
      <right/>
      <top style="thick">
        <color indexed="8"/>
      </top>
      <bottom/>
      <diagonal/>
    </border>
    <border>
      <left/>
      <right/>
      <top style="thick">
        <color indexed="8"/>
      </top>
      <bottom/>
      <diagonal/>
    </border>
    <border>
      <left/>
      <right style="thick">
        <color indexed="8"/>
      </right>
      <top style="thick">
        <color indexed="8"/>
      </top>
      <bottom/>
      <diagonal/>
    </border>
    <border>
      <left style="thick">
        <color indexed="8"/>
      </left>
      <right/>
      <top/>
      <bottom/>
      <diagonal/>
    </border>
    <border>
      <left/>
      <right style="thick">
        <color indexed="8"/>
      </right>
      <top/>
      <bottom/>
      <diagonal/>
    </border>
    <border>
      <left style="thick">
        <color indexed="8"/>
      </left>
      <right/>
      <top/>
      <bottom style="thick">
        <color indexed="8"/>
      </bottom>
      <diagonal/>
    </border>
    <border>
      <left/>
      <right/>
      <top/>
      <bottom style="thick">
        <color indexed="8"/>
      </bottom>
      <diagonal/>
    </border>
    <border>
      <left/>
      <right style="thick">
        <color indexed="8"/>
      </right>
      <top/>
      <bottom style="thick">
        <color indexed="8"/>
      </bottom>
      <diagonal/>
    </border>
    <border>
      <left style="thick">
        <color indexed="8"/>
      </left>
      <right/>
      <top/>
      <bottom style="thin">
        <color indexed="64"/>
      </bottom>
      <diagonal/>
    </border>
    <border>
      <left/>
      <right style="thick">
        <color indexed="8"/>
      </right>
      <top/>
      <bottom style="thin">
        <color indexed="64"/>
      </bottom>
      <diagonal/>
    </border>
    <border>
      <left/>
      <right/>
      <top/>
      <bottom style="thin">
        <color indexed="64"/>
      </bottom>
      <diagonal/>
    </border>
    <border>
      <left/>
      <right/>
      <top/>
      <bottom style="thick">
        <color theme="1"/>
      </bottom>
      <diagonal/>
    </border>
    <border>
      <left/>
      <right style="thick">
        <color theme="1"/>
      </right>
      <top/>
      <bottom style="thick">
        <color theme="1"/>
      </bottom>
      <diagonal/>
    </border>
    <border>
      <left/>
      <right/>
      <top style="medium">
        <color theme="1"/>
      </top>
      <bottom/>
      <diagonal/>
    </border>
    <border>
      <left/>
      <right/>
      <top style="thick">
        <color theme="1"/>
      </top>
      <bottom/>
      <diagonal/>
    </border>
    <border>
      <left/>
      <right style="thick">
        <color theme="1"/>
      </right>
      <top style="thick">
        <color theme="1"/>
      </top>
      <bottom style="thick">
        <color theme="1"/>
      </bottom>
      <diagonal/>
    </border>
    <border>
      <left/>
      <right/>
      <top style="thick">
        <color theme="1"/>
      </top>
      <bottom style="thick">
        <color theme="1"/>
      </bottom>
      <diagonal/>
    </border>
    <border>
      <left/>
      <right style="thick">
        <color theme="1"/>
      </right>
      <top/>
      <bottom/>
      <diagonal/>
    </border>
  </borders>
  <cellStyleXfs count="1">
    <xf numFmtId="0" fontId="0" fillId="0" borderId="0"/>
  </cellStyleXfs>
  <cellXfs count="109">
    <xf numFmtId="0" fontId="0" fillId="0" borderId="0" xfId="0"/>
    <xf numFmtId="15" fontId="0" fillId="0" borderId="0" xfId="0" applyNumberFormat="1"/>
    <xf numFmtId="1" fontId="0" fillId="0" borderId="0" xfId="0" applyNumberFormat="1"/>
    <xf numFmtId="164" fontId="0" fillId="0" borderId="0" xfId="0" applyNumberFormat="1"/>
    <xf numFmtId="11" fontId="0" fillId="0" borderId="0" xfId="0" applyNumberFormat="1"/>
    <xf numFmtId="1" fontId="0" fillId="0" borderId="0" xfId="0" applyNumberFormat="1" applyAlignment="1">
      <alignment wrapText="1"/>
    </xf>
    <xf numFmtId="0" fontId="0" fillId="0" borderId="0" xfId="0" applyAlignment="1">
      <alignment wrapText="1"/>
    </xf>
    <xf numFmtId="0" fontId="0" fillId="0" borderId="0" xfId="0" applyFill="1"/>
    <xf numFmtId="0" fontId="2" fillId="0" borderId="0" xfId="0" applyFont="1"/>
    <xf numFmtId="48" fontId="0" fillId="0" borderId="0" xfId="0" applyNumberFormat="1" applyFill="1"/>
    <xf numFmtId="166" fontId="0" fillId="0" borderId="0" xfId="0" applyNumberFormat="1" applyFill="1"/>
    <xf numFmtId="0" fontId="0" fillId="0" borderId="0" xfId="0" applyBorder="1"/>
    <xf numFmtId="0" fontId="2" fillId="0" borderId="0" xfId="0" applyFont="1" applyBorder="1"/>
    <xf numFmtId="0" fontId="2" fillId="0" borderId="1" xfId="0" applyFont="1" applyBorder="1"/>
    <xf numFmtId="0" fontId="0" fillId="0" borderId="0" xfId="0" applyFill="1" applyBorder="1"/>
    <xf numFmtId="1" fontId="0" fillId="0" borderId="0" xfId="0" applyNumberFormat="1" applyFill="1"/>
    <xf numFmtId="0" fontId="0" fillId="0" borderId="0" xfId="0" applyFill="1" applyBorder="1" applyProtection="1">
      <protection locked="0"/>
    </xf>
    <xf numFmtId="0" fontId="0" fillId="0" borderId="0" xfId="0" applyFill="1" applyProtection="1">
      <protection locked="0"/>
    </xf>
    <xf numFmtId="0" fontId="0" fillId="0" borderId="2" xfId="0" applyBorder="1"/>
    <xf numFmtId="0" fontId="2" fillId="0" borderId="3" xfId="0" applyFont="1" applyBorder="1"/>
    <xf numFmtId="0" fontId="0" fillId="0" borderId="3" xfId="0" applyBorder="1"/>
    <xf numFmtId="0" fontId="2" fillId="0" borderId="4" xfId="0" applyFont="1" applyBorder="1"/>
    <xf numFmtId="0" fontId="0" fillId="0" borderId="5" xfId="0" applyBorder="1"/>
    <xf numFmtId="0" fontId="2" fillId="0" borderId="6" xfId="0" applyFont="1" applyBorder="1"/>
    <xf numFmtId="0" fontId="0" fillId="0" borderId="7" xfId="0" applyBorder="1"/>
    <xf numFmtId="0" fontId="0" fillId="0" borderId="8" xfId="0" applyBorder="1"/>
    <xf numFmtId="0" fontId="2" fillId="0" borderId="9" xfId="0" applyFont="1" applyBorder="1"/>
    <xf numFmtId="0" fontId="0" fillId="0" borderId="9" xfId="0" applyBorder="1"/>
    <xf numFmtId="0" fontId="0" fillId="0" borderId="4" xfId="0" applyBorder="1"/>
    <xf numFmtId="0" fontId="5" fillId="0" borderId="6" xfId="0" applyFont="1" applyBorder="1"/>
    <xf numFmtId="0" fontId="0" fillId="0" borderId="10" xfId="0" applyBorder="1"/>
    <xf numFmtId="0" fontId="0" fillId="0" borderId="11" xfId="0" applyBorder="1"/>
    <xf numFmtId="0" fontId="0" fillId="0" borderId="0" xfId="0" applyAlignment="1"/>
    <xf numFmtId="0" fontId="3" fillId="0" borderId="0" xfId="0" applyFont="1" applyAlignment="1"/>
    <xf numFmtId="0" fontId="6" fillId="0" borderId="0" xfId="0" applyFont="1"/>
    <xf numFmtId="0" fontId="7" fillId="2" borderId="3" xfId="0" applyFont="1" applyFill="1" applyBorder="1" applyProtection="1">
      <protection locked="0"/>
    </xf>
    <xf numFmtId="0" fontId="7" fillId="2" borderId="0" xfId="0" applyFont="1" applyFill="1" applyBorder="1" applyProtection="1">
      <protection locked="0"/>
    </xf>
    <xf numFmtId="0" fontId="7" fillId="2" borderId="8" xfId="0" applyFont="1" applyFill="1" applyBorder="1" applyProtection="1">
      <protection locked="0"/>
    </xf>
    <xf numFmtId="1" fontId="7" fillId="2" borderId="0" xfId="0" applyNumberFormat="1" applyFont="1" applyFill="1" applyBorder="1" applyProtection="1">
      <protection locked="0"/>
    </xf>
    <xf numFmtId="0" fontId="8" fillId="0" borderId="0" xfId="0" applyFont="1" applyFill="1" applyBorder="1" applyProtection="1"/>
    <xf numFmtId="164" fontId="8" fillId="0" borderId="3" xfId="0" applyNumberFormat="1" applyFont="1" applyFill="1" applyBorder="1"/>
    <xf numFmtId="164" fontId="8" fillId="0" borderId="0" xfId="0" applyNumberFormat="1" applyFont="1" applyFill="1" applyBorder="1"/>
    <xf numFmtId="2" fontId="8" fillId="0" borderId="0" xfId="0" applyNumberFormat="1" applyFont="1" applyFill="1" applyBorder="1"/>
    <xf numFmtId="2" fontId="8" fillId="0" borderId="8" xfId="0" applyNumberFormat="1" applyFont="1" applyFill="1" applyBorder="1"/>
    <xf numFmtId="0" fontId="7" fillId="2" borderId="0" xfId="0" applyFont="1" applyFill="1"/>
    <xf numFmtId="1" fontId="8" fillId="0" borderId="0" xfId="0" applyNumberFormat="1" applyFont="1" applyFill="1" applyBorder="1"/>
    <xf numFmtId="0" fontId="9" fillId="0" borderId="0" xfId="0" applyFont="1"/>
    <xf numFmtId="0" fontId="10" fillId="3" borderId="13" xfId="0" applyFont="1" applyFill="1" applyBorder="1" applyProtection="1">
      <protection locked="0"/>
    </xf>
    <xf numFmtId="0" fontId="9" fillId="0" borderId="2" xfId="0" applyFont="1" applyBorder="1"/>
    <xf numFmtId="0" fontId="9" fillId="0" borderId="5" xfId="0" applyFont="1" applyBorder="1"/>
    <xf numFmtId="0" fontId="0" fillId="0" borderId="0" xfId="0" applyFont="1" applyFill="1" applyBorder="1"/>
    <xf numFmtId="0" fontId="0" fillId="0" borderId="6" xfId="0" applyBorder="1"/>
    <xf numFmtId="0" fontId="9" fillId="0" borderId="0" xfId="0" applyFont="1" applyBorder="1"/>
    <xf numFmtId="2" fontId="8" fillId="0" borderId="3" xfId="0" applyNumberFormat="1" applyFont="1" applyFill="1" applyBorder="1"/>
    <xf numFmtId="2" fontId="8" fillId="0" borderId="12" xfId="0" applyNumberFormat="1" applyFont="1" applyFill="1" applyBorder="1"/>
    <xf numFmtId="2" fontId="7" fillId="2" borderId="8" xfId="0" applyNumberFormat="1" applyFont="1" applyFill="1" applyBorder="1" applyProtection="1">
      <protection locked="0"/>
    </xf>
    <xf numFmtId="2" fontId="7" fillId="2" borderId="0" xfId="0" applyNumberFormat="1" applyFont="1" applyFill="1" applyBorder="1" applyProtection="1">
      <protection locked="0"/>
    </xf>
    <xf numFmtId="0" fontId="0" fillId="0" borderId="9" xfId="0" applyFont="1" applyFill="1" applyBorder="1"/>
    <xf numFmtId="0" fontId="0" fillId="0" borderId="15" xfId="0" applyBorder="1"/>
    <xf numFmtId="0" fontId="0" fillId="0" borderId="16" xfId="0" applyBorder="1"/>
    <xf numFmtId="0" fontId="9" fillId="0" borderId="13" xfId="0" applyFont="1" applyFill="1" applyBorder="1"/>
    <xf numFmtId="164" fontId="13" fillId="0" borderId="13" xfId="0" applyNumberFormat="1" applyFont="1" applyBorder="1"/>
    <xf numFmtId="0" fontId="9" fillId="0" borderId="13" xfId="0" applyFont="1" applyBorder="1"/>
    <xf numFmtId="0" fontId="0" fillId="0" borderId="13" xfId="0" applyBorder="1"/>
    <xf numFmtId="0" fontId="2" fillId="0" borderId="0" xfId="0" applyFont="1" applyFill="1" applyBorder="1"/>
    <xf numFmtId="0" fontId="9" fillId="0" borderId="16" xfId="0" applyFont="1" applyFill="1" applyBorder="1"/>
    <xf numFmtId="1" fontId="8" fillId="0" borderId="16" xfId="0" applyNumberFormat="1" applyFont="1" applyFill="1" applyBorder="1"/>
    <xf numFmtId="0" fontId="2" fillId="0" borderId="16" xfId="0" applyFont="1" applyBorder="1"/>
    <xf numFmtId="0" fontId="9" fillId="0" borderId="16" xfId="0" applyFont="1" applyBorder="1"/>
    <xf numFmtId="0" fontId="9" fillId="0" borderId="17" xfId="0" applyFont="1" applyBorder="1"/>
    <xf numFmtId="0" fontId="9" fillId="0" borderId="18" xfId="0" applyFont="1" applyBorder="1"/>
    <xf numFmtId="164" fontId="15" fillId="0" borderId="18" xfId="0" applyNumberFormat="1" applyFont="1" applyBorder="1"/>
    <xf numFmtId="0" fontId="0" fillId="0" borderId="13" xfId="0" applyFont="1" applyFill="1" applyBorder="1"/>
    <xf numFmtId="1" fontId="15" fillId="0" borderId="13" xfId="0" applyNumberFormat="1" applyFont="1" applyBorder="1"/>
    <xf numFmtId="0" fontId="0" fillId="0" borderId="16" xfId="0" applyFill="1" applyBorder="1"/>
    <xf numFmtId="0" fontId="8" fillId="0" borderId="16" xfId="0" applyFont="1" applyFill="1" applyBorder="1" applyProtection="1"/>
    <xf numFmtId="0" fontId="2" fillId="0" borderId="13" xfId="0" applyFont="1" applyBorder="1"/>
    <xf numFmtId="0" fontId="8" fillId="0" borderId="14" xfId="0" applyFont="1" applyFill="1" applyBorder="1" applyProtection="1"/>
    <xf numFmtId="0" fontId="0" fillId="0" borderId="14" xfId="0" applyBorder="1"/>
    <xf numFmtId="0" fontId="0" fillId="0" borderId="19" xfId="0" applyBorder="1"/>
    <xf numFmtId="0" fontId="0" fillId="0" borderId="16" xfId="0" applyFont="1" applyFill="1" applyBorder="1"/>
    <xf numFmtId="0" fontId="16" fillId="0" borderId="16" xfId="0" applyFont="1" applyFill="1" applyBorder="1"/>
    <xf numFmtId="0" fontId="2" fillId="0" borderId="17" xfId="0" applyFont="1" applyBorder="1"/>
    <xf numFmtId="2" fontId="7" fillId="0" borderId="0" xfId="0" applyNumberFormat="1" applyFont="1" applyFill="1" applyBorder="1" applyProtection="1">
      <protection locked="0"/>
    </xf>
    <xf numFmtId="0" fontId="9" fillId="0" borderId="0" xfId="0" applyFont="1" applyProtection="1"/>
    <xf numFmtId="0" fontId="0" fillId="0" borderId="0" xfId="0" applyProtection="1"/>
    <xf numFmtId="0" fontId="2" fillId="0" borderId="0" xfId="0" applyFont="1" applyProtection="1"/>
    <xf numFmtId="1" fontId="0" fillId="0" borderId="0" xfId="0" applyNumberFormat="1" applyProtection="1"/>
    <xf numFmtId="0" fontId="0" fillId="0" borderId="2" xfId="0" applyBorder="1" applyProtection="1"/>
    <xf numFmtId="0" fontId="0" fillId="0" borderId="3" xfId="0" applyBorder="1" applyProtection="1"/>
    <xf numFmtId="1" fontId="0" fillId="0" borderId="3" xfId="0" applyNumberFormat="1" applyBorder="1" applyProtection="1"/>
    <xf numFmtId="0" fontId="0" fillId="0" borderId="4" xfId="0" applyBorder="1" applyProtection="1"/>
    <xf numFmtId="0" fontId="0" fillId="0" borderId="5" xfId="0" applyBorder="1" applyProtection="1"/>
    <xf numFmtId="0" fontId="8" fillId="0" borderId="0" xfId="0" applyFont="1" applyBorder="1" applyProtection="1"/>
    <xf numFmtId="0" fontId="2" fillId="0" borderId="6" xfId="0" applyFont="1" applyBorder="1" applyProtection="1"/>
    <xf numFmtId="164" fontId="8" fillId="0" borderId="0" xfId="0" applyNumberFormat="1" applyFont="1" applyFill="1" applyBorder="1" applyProtection="1"/>
    <xf numFmtId="165" fontId="8" fillId="0" borderId="0" xfId="0" applyNumberFormat="1" applyFont="1" applyFill="1" applyBorder="1" applyProtection="1"/>
    <xf numFmtId="0" fontId="0" fillId="0" borderId="7" xfId="0" applyFill="1" applyBorder="1" applyProtection="1"/>
    <xf numFmtId="164" fontId="8" fillId="0" borderId="8" xfId="0" applyNumberFormat="1" applyFont="1" applyFill="1" applyBorder="1" applyProtection="1"/>
    <xf numFmtId="0" fontId="2" fillId="0" borderId="9" xfId="0" applyFont="1" applyBorder="1" applyProtection="1"/>
    <xf numFmtId="0" fontId="2" fillId="0" borderId="13" xfId="0" applyFont="1" applyBorder="1" applyProtection="1"/>
    <xf numFmtId="0" fontId="10" fillId="3" borderId="16" xfId="0" applyFont="1" applyFill="1" applyBorder="1" applyProtection="1">
      <protection locked="0"/>
    </xf>
    <xf numFmtId="2" fontId="13" fillId="0" borderId="3" xfId="0" applyNumberFormat="1" applyFont="1" applyFill="1" applyBorder="1" applyProtection="1"/>
    <xf numFmtId="2" fontId="13" fillId="0" borderId="0" xfId="0" applyNumberFormat="1" applyFont="1" applyFill="1" applyBorder="1" applyProtection="1"/>
    <xf numFmtId="0" fontId="0" fillId="0" borderId="13" xfId="0" applyBorder="1" applyProtection="1"/>
    <xf numFmtId="0" fontId="3" fillId="0" borderId="0" xfId="0" applyFont="1" applyAlignment="1"/>
    <xf numFmtId="0" fontId="0" fillId="0" borderId="0" xfId="0" applyAlignment="1"/>
    <xf numFmtId="0" fontId="0" fillId="0" borderId="0" xfId="0" applyFill="1" applyAlignment="1"/>
    <xf numFmtId="0" fontId="0" fillId="0" borderId="0" xfId="0" applyFill="1" applyBorder="1" applyAlignment="1"/>
  </cellXfs>
  <cellStyles count="1">
    <cellStyle name="Normal" xfId="0" builtinId="0"/>
  </cellStyles>
  <dxfs count="0"/>
  <tableStyles count="0" defaultTableStyle="TableStyleMedium9" defaultPivotStyle="PivotStyleLight16"/>
  <colors>
    <mruColors>
      <color rgb="FF993366"/>
      <color rgb="FF008000"/>
      <color rgb="FFCCFFCC"/>
      <color rgb="FF99FFCC"/>
      <color rgb="FF8FE1C2"/>
      <color rgb="FF99FF99"/>
      <color rgb="FF33CC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50" b="1" i="0" u="none" strike="noStrike" baseline="0">
                <a:solidFill>
                  <a:srgbClr val="000000"/>
                </a:solidFill>
                <a:latin typeface="Arial"/>
                <a:ea typeface="Arial"/>
                <a:cs typeface="Arial"/>
              </a:defRPr>
            </a:pPr>
            <a:r>
              <a:rPr lang="en-US"/>
              <a:t>Switching Frequency at the Peak of Input Voltage</a:t>
            </a:r>
          </a:p>
          <a:p>
            <a:pPr>
              <a:defRPr sz="950" b="1" i="0" u="none" strike="noStrike" baseline="0">
                <a:solidFill>
                  <a:srgbClr val="000000"/>
                </a:solidFill>
                <a:latin typeface="Arial"/>
                <a:ea typeface="Arial"/>
                <a:cs typeface="Arial"/>
              </a:defRPr>
            </a:pPr>
            <a:r>
              <a:rPr lang="en-US"/>
              <a:t>  (Verify Maximum Frequency for EMI Purposes)</a:t>
            </a:r>
          </a:p>
        </c:rich>
      </c:tx>
      <c:layout>
        <c:manualLayout>
          <c:xMode val="edge"/>
          <c:yMode val="edge"/>
          <c:x val="0.21645814971816874"/>
          <c:y val="3.1630245471804631E-2"/>
        </c:manualLayout>
      </c:layout>
      <c:overlay val="0"/>
      <c:spPr>
        <a:noFill/>
        <a:ln w="25400">
          <a:noFill/>
        </a:ln>
      </c:spPr>
    </c:title>
    <c:autoTitleDeleted val="0"/>
    <c:plotArea>
      <c:layout>
        <c:manualLayout>
          <c:layoutTarget val="inner"/>
          <c:xMode val="edge"/>
          <c:yMode val="edge"/>
          <c:x val="9.1234426740715524E-2"/>
          <c:y val="0.15328503574797603"/>
          <c:w val="0.84257676460543052"/>
          <c:h val="0.68613301715760233"/>
        </c:manualLayout>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trendline>
            <c:spPr>
              <a:ln w="25400">
                <a:solidFill>
                  <a:srgbClr val="000000"/>
                </a:solidFill>
                <a:prstDash val="solid"/>
              </a:ln>
            </c:spPr>
            <c:trendlineType val="poly"/>
            <c:order val="2"/>
            <c:dispRSqr val="0"/>
            <c:dispEq val="0"/>
          </c:trendline>
          <c:xVal>
            <c:numRef>
              <c:f>Hidden!$F$5:$F$15</c:f>
              <c:numCache>
                <c:formatCode>General</c:formatCode>
                <c:ptCount val="11"/>
                <c:pt idx="0">
                  <c:v>90</c:v>
                </c:pt>
                <c:pt idx="1">
                  <c:v>111.5</c:v>
                </c:pt>
                <c:pt idx="2">
                  <c:v>133</c:v>
                </c:pt>
                <c:pt idx="3">
                  <c:v>154.5</c:v>
                </c:pt>
                <c:pt idx="4">
                  <c:v>176</c:v>
                </c:pt>
                <c:pt idx="5">
                  <c:v>197.5</c:v>
                </c:pt>
                <c:pt idx="6">
                  <c:v>219</c:v>
                </c:pt>
                <c:pt idx="7">
                  <c:v>240.5</c:v>
                </c:pt>
                <c:pt idx="8">
                  <c:v>262</c:v>
                </c:pt>
                <c:pt idx="9">
                  <c:v>283.5</c:v>
                </c:pt>
                <c:pt idx="10">
                  <c:v>305</c:v>
                </c:pt>
              </c:numCache>
            </c:numRef>
          </c:xVal>
          <c:yVal>
            <c:numRef>
              <c:f>Hidden!$L$5:$L$15</c:f>
              <c:numCache>
                <c:formatCode>0</c:formatCode>
                <c:ptCount val="11"/>
                <c:pt idx="0">
                  <c:v>51.3</c:v>
                </c:pt>
                <c:pt idx="1">
                  <c:v>63.854018368746175</c:v>
                </c:pt>
                <c:pt idx="2">
                  <c:v>75.159351448405971</c:v>
                </c:pt>
                <c:pt idx="3">
                  <c:v>85.293367184472345</c:v>
                </c:pt>
                <c:pt idx="4">
                  <c:v>94.375764409570536</c:v>
                </c:pt>
                <c:pt idx="5">
                  <c:v>102.53169107810575</c:v>
                </c:pt>
                <c:pt idx="6">
                  <c:v>109.87768157357556</c:v>
                </c:pt>
                <c:pt idx="7">
                  <c:v>116.51714373333181</c:v>
                </c:pt>
                <c:pt idx="8">
                  <c:v>122.53981671624037</c:v>
                </c:pt>
                <c:pt idx="9">
                  <c:v>128.02278734551794</c:v>
                </c:pt>
                <c:pt idx="10">
                  <c:v>133.03201261184162</c:v>
                </c:pt>
              </c:numCache>
            </c:numRef>
          </c:yVal>
          <c:smooth val="0"/>
        </c:ser>
        <c:dLbls>
          <c:showLegendKey val="0"/>
          <c:showVal val="0"/>
          <c:showCatName val="0"/>
          <c:showSerName val="0"/>
          <c:showPercent val="0"/>
          <c:showBubbleSize val="0"/>
        </c:dLbls>
        <c:axId val="72545408"/>
        <c:axId val="72547328"/>
      </c:scatterChart>
      <c:valAx>
        <c:axId val="72545408"/>
        <c:scaling>
          <c:orientation val="minMax"/>
        </c:scaling>
        <c:delete val="0"/>
        <c:axPos val="b"/>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en-US"/>
                  <a:t>Line Voltage (Vrms)</a:t>
                </a:r>
              </a:p>
            </c:rich>
          </c:tx>
          <c:layout>
            <c:manualLayout>
              <c:xMode val="edge"/>
              <c:yMode val="edge"/>
              <c:x val="0.40966046516909654"/>
              <c:y val="0.9051116396547096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72547328"/>
        <c:crosses val="autoZero"/>
        <c:crossBetween val="midCat"/>
      </c:valAx>
      <c:valAx>
        <c:axId val="7254732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en-US"/>
                  <a:t>Frequency (kHz)</a:t>
                </a:r>
              </a:p>
            </c:rich>
          </c:tx>
          <c:layout>
            <c:manualLayout>
              <c:xMode val="edge"/>
              <c:yMode val="edge"/>
              <c:x val="8.9445516412466168E-3"/>
              <c:y val="0.3844291372727013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72545408"/>
        <c:crosses val="autoZero"/>
        <c:crossBetween val="midCat"/>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11" r="0.75000000000000211"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161925</xdr:colOff>
      <xdr:row>17</xdr:row>
      <xdr:rowOff>0</xdr:rowOff>
    </xdr:from>
    <xdr:to>
      <xdr:col>15</xdr:col>
      <xdr:colOff>514350</xdr:colOff>
      <xdr:row>42</xdr:row>
      <xdr:rowOff>38100</xdr:rowOff>
    </xdr:to>
    <xdr:graphicFrame macro="">
      <xdr:nvGraphicFramePr>
        <xdr:cNvPr id="10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152400</xdr:colOff>
      <xdr:row>0</xdr:row>
      <xdr:rowOff>9525</xdr:rowOff>
    </xdr:from>
    <xdr:to>
      <xdr:col>0</xdr:col>
      <xdr:colOff>981075</xdr:colOff>
      <xdr:row>0</xdr:row>
      <xdr:rowOff>781050</xdr:rowOff>
    </xdr:to>
    <xdr:pic>
      <xdr:nvPicPr>
        <xdr:cNvPr id="1026" name="Picture 2" descr="ONBall3DR"/>
        <xdr:cNvPicPr>
          <a:picLocks noChangeAspect="1" noChangeArrowheads="1"/>
        </xdr:cNvPicPr>
      </xdr:nvPicPr>
      <xdr:blipFill>
        <a:blip xmlns:r="http://schemas.openxmlformats.org/officeDocument/2006/relationships" r:embed="rId2" cstate="print"/>
        <a:srcRect/>
        <a:stretch>
          <a:fillRect/>
        </a:stretch>
      </xdr:blipFill>
      <xdr:spPr bwMode="auto">
        <a:xfrm>
          <a:off x="152400" y="9525"/>
          <a:ext cx="828675" cy="771525"/>
        </a:xfrm>
        <a:prstGeom prst="rect">
          <a:avLst/>
        </a:prstGeom>
        <a:noFill/>
      </xdr:spPr>
    </xdr:pic>
    <xdr:clientData/>
  </xdr:twoCellAnchor>
  <xdr:oneCellAnchor>
    <xdr:from>
      <xdr:col>1</xdr:col>
      <xdr:colOff>171450</xdr:colOff>
      <xdr:row>0</xdr:row>
      <xdr:rowOff>19050</xdr:rowOff>
    </xdr:from>
    <xdr:ext cx="4612673" cy="336502"/>
    <xdr:sp macro="" textlink="">
      <xdr:nvSpPr>
        <xdr:cNvPr id="1027" name="Text Box 3"/>
        <xdr:cNvSpPr txBox="1">
          <a:spLocks noChangeArrowheads="1"/>
        </xdr:cNvSpPr>
      </xdr:nvSpPr>
      <xdr:spPr bwMode="auto">
        <a:xfrm>
          <a:off x="1495425" y="19050"/>
          <a:ext cx="4612673" cy="336502"/>
        </a:xfrm>
        <a:prstGeom prst="rect">
          <a:avLst/>
        </a:prstGeom>
        <a:noFill/>
        <a:ln w="19050">
          <a:solidFill>
            <a:srgbClr val="000000"/>
          </a:solidFill>
          <a:miter lim="800000"/>
          <a:headEnd/>
          <a:tailEnd/>
        </a:ln>
      </xdr:spPr>
      <xdr:txBody>
        <a:bodyPr wrap="none" lIns="36576" tIns="41148" rIns="0" bIns="0" anchor="t" upright="1">
          <a:spAutoFit/>
        </a:bodyPr>
        <a:lstStyle/>
        <a:p>
          <a:pPr algn="l" rtl="0">
            <a:defRPr sz="1000"/>
          </a:pPr>
          <a:r>
            <a:rPr lang="en-US" sz="2000" b="1" i="0" u="none" strike="noStrike" baseline="0">
              <a:solidFill>
                <a:srgbClr val="000000"/>
              </a:solidFill>
              <a:latin typeface="Arial"/>
              <a:cs typeface="Arial"/>
            </a:rPr>
            <a:t>NCL30060 Flyback Design Worksheet</a:t>
          </a:r>
        </a:p>
      </xdr:txBody>
    </xdr:sp>
    <xdr:clientData/>
  </xdr:oneCellAnchor>
  <xdr:oneCellAnchor>
    <xdr:from>
      <xdr:col>2</xdr:col>
      <xdr:colOff>38100</xdr:colOff>
      <xdr:row>0</xdr:row>
      <xdr:rowOff>466725</xdr:rowOff>
    </xdr:from>
    <xdr:ext cx="3816238" cy="204736"/>
    <xdr:sp macro="" textlink="">
      <xdr:nvSpPr>
        <xdr:cNvPr id="1028" name="Text Box 4"/>
        <xdr:cNvSpPr txBox="1">
          <a:spLocks noChangeArrowheads="1"/>
        </xdr:cNvSpPr>
      </xdr:nvSpPr>
      <xdr:spPr bwMode="auto">
        <a:xfrm>
          <a:off x="2000250" y="466725"/>
          <a:ext cx="3816238" cy="204736"/>
        </a:xfrm>
        <a:prstGeom prst="rect">
          <a:avLst/>
        </a:prstGeom>
        <a:noFill/>
        <a:ln w="19050">
          <a:solidFill>
            <a:srgbClr val="000000"/>
          </a:solidFill>
          <a:miter lim="800000"/>
          <a:headEnd/>
          <a:tailEnd/>
        </a:ln>
      </xdr:spPr>
      <xdr:txBody>
        <a:bodyPr wrap="none" lIns="27432" tIns="27432" rIns="0" bIns="0" anchor="t" upright="1">
          <a:spAutoFit/>
        </a:bodyPr>
        <a:lstStyle/>
        <a:p>
          <a:pPr algn="l" rtl="0">
            <a:defRPr sz="1000"/>
          </a:pPr>
          <a:r>
            <a:rPr lang="en-US" sz="1200" b="1" i="0" u="none" strike="noStrike" baseline="0">
              <a:solidFill>
                <a:srgbClr val="000000"/>
              </a:solidFill>
              <a:latin typeface="Arial"/>
              <a:cs typeface="Arial"/>
            </a:rPr>
            <a:t>Isolated High Power Factor Single Stage LED Driver</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81"/>
  <sheetViews>
    <sheetView tabSelected="1" defaultGridColor="0" colorId="9" workbookViewId="0">
      <selection activeCell="B7" sqref="B7"/>
    </sheetView>
  </sheetViews>
  <sheetFormatPr defaultRowHeight="12.75" x14ac:dyDescent="0.2"/>
  <cols>
    <col min="1" max="1" width="19.85546875" customWidth="1"/>
    <col min="2" max="3" width="9.5703125" customWidth="1"/>
    <col min="4" max="4" width="21.28515625" customWidth="1"/>
    <col min="5" max="5" width="9.5703125" customWidth="1"/>
    <col min="6" max="6" width="9.7109375" customWidth="1"/>
    <col min="7" max="7" width="22.42578125" customWidth="1"/>
    <col min="8" max="8" width="9.5703125" customWidth="1"/>
    <col min="11" max="11" width="10.140625" customWidth="1"/>
  </cols>
  <sheetData>
    <row r="1" spans="1:11" ht="62.25" customHeight="1" x14ac:dyDescent="0.3">
      <c r="B1" s="105"/>
      <c r="C1" s="106"/>
      <c r="D1" s="106"/>
      <c r="E1" s="106"/>
      <c r="F1" s="106"/>
      <c r="G1" s="106"/>
    </row>
    <row r="2" spans="1:11" ht="13.5" customHeight="1" x14ac:dyDescent="0.3">
      <c r="A2" s="34" t="s">
        <v>52</v>
      </c>
      <c r="B2" s="33"/>
      <c r="C2" s="32"/>
      <c r="D2" s="32"/>
      <c r="E2" s="32"/>
      <c r="F2" s="32"/>
      <c r="G2" s="32"/>
    </row>
    <row r="3" spans="1:11" ht="13.5" customHeight="1" x14ac:dyDescent="0.3">
      <c r="A3" s="34" t="s">
        <v>53</v>
      </c>
      <c r="B3" s="33"/>
      <c r="C3" s="32"/>
      <c r="D3" s="32"/>
      <c r="E3" s="32"/>
      <c r="F3" s="32"/>
      <c r="G3" s="32"/>
    </row>
    <row r="4" spans="1:11" x14ac:dyDescent="0.2">
      <c r="A4" s="44" t="s">
        <v>62</v>
      </c>
      <c r="B4" s="107"/>
      <c r="C4" s="107"/>
      <c r="E4" s="46" t="s">
        <v>92</v>
      </c>
      <c r="F4" s="1"/>
    </row>
    <row r="6" spans="1:11" ht="14.1" customHeight="1" thickBot="1" x14ac:dyDescent="0.25">
      <c r="A6" s="8" t="s">
        <v>17</v>
      </c>
    </row>
    <row r="7" spans="1:11" ht="14.1" customHeight="1" thickTop="1" x14ac:dyDescent="0.2">
      <c r="A7" s="48" t="s">
        <v>66</v>
      </c>
      <c r="B7" s="35">
        <v>90</v>
      </c>
      <c r="C7" s="19" t="s">
        <v>25</v>
      </c>
      <c r="D7" s="20" t="s">
        <v>27</v>
      </c>
      <c r="E7" s="35">
        <v>700</v>
      </c>
      <c r="F7" s="21" t="s">
        <v>24</v>
      </c>
    </row>
    <row r="8" spans="1:11" ht="14.1" customHeight="1" x14ac:dyDescent="0.2">
      <c r="A8" s="49" t="s">
        <v>67</v>
      </c>
      <c r="B8" s="36">
        <v>305</v>
      </c>
      <c r="C8" s="12" t="s">
        <v>25</v>
      </c>
      <c r="D8" s="11" t="s">
        <v>69</v>
      </c>
      <c r="E8" s="36">
        <v>37</v>
      </c>
      <c r="F8" s="23" t="s">
        <v>26</v>
      </c>
      <c r="J8" s="11"/>
      <c r="K8" s="11"/>
    </row>
    <row r="9" spans="1:11" ht="14.1" customHeight="1" x14ac:dyDescent="0.2">
      <c r="A9" s="22" t="s">
        <v>34</v>
      </c>
      <c r="B9" s="36">
        <v>51.3</v>
      </c>
      <c r="C9" s="12" t="s">
        <v>23</v>
      </c>
      <c r="D9" s="52" t="s">
        <v>74</v>
      </c>
      <c r="E9" s="36">
        <v>39.6</v>
      </c>
      <c r="F9" s="23" t="s">
        <v>26</v>
      </c>
      <c r="J9" s="11"/>
      <c r="K9" s="11"/>
    </row>
    <row r="10" spans="1:11" ht="14.1" customHeight="1" thickBot="1" x14ac:dyDescent="0.25">
      <c r="A10" s="104" t="s">
        <v>64</v>
      </c>
      <c r="B10" s="47">
        <v>88</v>
      </c>
      <c r="C10" s="100" t="s">
        <v>65</v>
      </c>
      <c r="D10" s="11" t="s">
        <v>68</v>
      </c>
      <c r="E10" s="36">
        <v>45</v>
      </c>
      <c r="F10" s="23" t="s">
        <v>26</v>
      </c>
      <c r="J10" s="11"/>
      <c r="K10" s="11"/>
    </row>
    <row r="11" spans="1:11" ht="14.1" customHeight="1" thickTop="1" thickBot="1" x14ac:dyDescent="0.25">
      <c r="D11" s="24" t="s">
        <v>54</v>
      </c>
      <c r="E11" s="37">
        <v>15</v>
      </c>
      <c r="F11" s="26" t="s">
        <v>26</v>
      </c>
      <c r="J11" s="11"/>
      <c r="K11" s="11"/>
    </row>
    <row r="12" spans="1:11" ht="14.1" customHeight="1" thickTop="1" x14ac:dyDescent="0.2">
      <c r="D12" s="11" t="s">
        <v>55</v>
      </c>
      <c r="E12" s="39">
        <f>E7*E8/1000</f>
        <v>25.9</v>
      </c>
      <c r="F12" s="13" t="s">
        <v>29</v>
      </c>
      <c r="J12" s="11"/>
      <c r="K12" s="11"/>
    </row>
    <row r="13" spans="1:11" ht="14.1" customHeight="1" x14ac:dyDescent="0.2">
      <c r="A13" s="11"/>
      <c r="B13" s="14"/>
      <c r="C13" s="12"/>
      <c r="D13" s="11"/>
      <c r="F13" s="39"/>
      <c r="G13" s="12"/>
      <c r="J13" s="11"/>
      <c r="K13" s="11"/>
    </row>
    <row r="14" spans="1:11" ht="14.1" customHeight="1" thickBot="1" x14ac:dyDescent="0.25">
      <c r="A14" s="64" t="s">
        <v>78</v>
      </c>
      <c r="B14" s="14"/>
      <c r="C14" s="12"/>
      <c r="D14" s="11"/>
      <c r="F14" s="39"/>
      <c r="G14" s="12"/>
      <c r="J14" s="11"/>
      <c r="K14" s="11"/>
    </row>
    <row r="15" spans="1:11" ht="14.1" customHeight="1" thickTop="1" thickBot="1" x14ac:dyDescent="0.25">
      <c r="A15" s="80" t="s">
        <v>90</v>
      </c>
      <c r="B15" s="74"/>
      <c r="C15" s="67"/>
      <c r="D15" s="59"/>
      <c r="E15" s="81" t="str">
        <f>IF((E10/E11)&gt;2.11, "Bias regulator is REQUIRED", "Bias regulator is not required")</f>
        <v>Bias regulator is REQUIRED</v>
      </c>
      <c r="F15" s="75"/>
      <c r="G15" s="82"/>
      <c r="J15" s="11"/>
      <c r="K15" s="11"/>
    </row>
    <row r="16" spans="1:11" ht="14.1" customHeight="1" thickTop="1" thickBot="1" x14ac:dyDescent="0.25">
      <c r="A16" s="60" t="s">
        <v>80</v>
      </c>
      <c r="B16" s="47">
        <v>1000</v>
      </c>
      <c r="C16" s="76" t="s">
        <v>70</v>
      </c>
      <c r="D16" s="62" t="s">
        <v>79</v>
      </c>
      <c r="E16" s="63"/>
      <c r="F16" s="77"/>
      <c r="G16" s="12"/>
      <c r="J16" s="11"/>
      <c r="K16" s="11"/>
    </row>
    <row r="17" spans="1:11" ht="14.1" customHeight="1" thickTop="1" x14ac:dyDescent="0.2">
      <c r="A17" s="11"/>
      <c r="B17" s="14"/>
      <c r="C17" s="12"/>
      <c r="D17" s="11"/>
      <c r="F17" s="39"/>
      <c r="G17" s="12"/>
      <c r="J17" s="11"/>
      <c r="K17" s="11"/>
    </row>
    <row r="18" spans="1:11" ht="14.1" customHeight="1" x14ac:dyDescent="0.2">
      <c r="A18" s="11"/>
      <c r="B18" s="14"/>
      <c r="C18" s="12"/>
      <c r="D18" s="11"/>
      <c r="E18" s="16"/>
      <c r="F18" s="12"/>
      <c r="J18" s="11"/>
      <c r="K18" s="11"/>
    </row>
    <row r="19" spans="1:11" ht="14.1" customHeight="1" thickBot="1" x14ac:dyDescent="0.25">
      <c r="A19" s="8" t="s">
        <v>18</v>
      </c>
    </row>
    <row r="20" spans="1:11" ht="14.1" customHeight="1" thickTop="1" x14ac:dyDescent="0.2">
      <c r="A20" s="18" t="s">
        <v>56</v>
      </c>
      <c r="B20" s="35">
        <v>800</v>
      </c>
      <c r="C20" s="19" t="s">
        <v>26</v>
      </c>
      <c r="D20" s="20" t="s">
        <v>57</v>
      </c>
      <c r="E20" s="35">
        <v>200</v>
      </c>
      <c r="F20" s="21" t="s">
        <v>26</v>
      </c>
    </row>
    <row r="21" spans="1:11" ht="14.1" customHeight="1" thickBot="1" x14ac:dyDescent="0.25">
      <c r="A21" s="24" t="s">
        <v>19</v>
      </c>
      <c r="B21" s="37">
        <v>0.8</v>
      </c>
      <c r="C21" s="25"/>
      <c r="D21" s="25" t="s">
        <v>19</v>
      </c>
      <c r="E21" s="37">
        <v>0.8</v>
      </c>
      <c r="F21" s="27"/>
    </row>
    <row r="22" spans="1:11" ht="14.1" customHeight="1" thickTop="1" x14ac:dyDescent="0.2">
      <c r="B22" s="7"/>
    </row>
    <row r="23" spans="1:11" ht="14.1" customHeight="1" thickBot="1" x14ac:dyDescent="0.25">
      <c r="A23" s="8" t="s">
        <v>81</v>
      </c>
      <c r="B23" s="7"/>
    </row>
    <row r="24" spans="1:11" ht="14.1" customHeight="1" thickTop="1" x14ac:dyDescent="0.2">
      <c r="A24" s="48" t="s">
        <v>14</v>
      </c>
      <c r="B24" s="58"/>
      <c r="C24" s="53">
        <f>(B20*B21-B8*1.414)/E10</f>
        <v>4.6384444444444446</v>
      </c>
      <c r="D24" s="28" t="s">
        <v>33</v>
      </c>
    </row>
    <row r="25" spans="1:11" ht="14.1" customHeight="1" x14ac:dyDescent="0.2">
      <c r="A25" s="30" t="s">
        <v>15</v>
      </c>
      <c r="C25" s="54">
        <f>B8*1.414/(E20*E21-E10)</f>
        <v>3.7501739130434779</v>
      </c>
      <c r="D25" s="31" t="s">
        <v>33</v>
      </c>
    </row>
    <row r="26" spans="1:11" ht="14.1" customHeight="1" thickBot="1" x14ac:dyDescent="0.25">
      <c r="A26" s="24" t="s">
        <v>20</v>
      </c>
      <c r="B26" s="63"/>
      <c r="C26" s="55">
        <v>4</v>
      </c>
      <c r="D26" s="27" t="s">
        <v>33</v>
      </c>
      <c r="G26" s="3"/>
    </row>
    <row r="27" spans="1:11" ht="14.1" customHeight="1" thickTop="1" x14ac:dyDescent="0.2">
      <c r="A27" s="11"/>
      <c r="C27" s="83"/>
      <c r="D27" s="20"/>
      <c r="G27" s="3"/>
    </row>
    <row r="28" spans="1:11" ht="14.1" customHeight="1" thickBot="1" x14ac:dyDescent="0.25">
      <c r="A28" s="64" t="s">
        <v>82</v>
      </c>
      <c r="C28" s="83"/>
      <c r="D28" s="11"/>
      <c r="G28" s="3"/>
    </row>
    <row r="29" spans="1:11" ht="14.1" customHeight="1" thickTop="1" x14ac:dyDescent="0.2">
      <c r="A29" s="65" t="s">
        <v>71</v>
      </c>
      <c r="B29" s="59"/>
      <c r="C29" s="102">
        <f>C26*E11/12.8</f>
        <v>4.6875</v>
      </c>
      <c r="D29" s="28" t="s">
        <v>33</v>
      </c>
      <c r="G29" s="3"/>
    </row>
    <row r="30" spans="1:11" ht="14.1" customHeight="1" x14ac:dyDescent="0.2">
      <c r="A30" s="108" t="s">
        <v>83</v>
      </c>
      <c r="B30" s="106"/>
      <c r="C30" s="103">
        <f>IF((E10/E11)&gt;2.11, C26*E10/80, C26*E10/27)</f>
        <v>2.25</v>
      </c>
      <c r="D30" s="51" t="s">
        <v>33</v>
      </c>
      <c r="G30" s="3"/>
    </row>
    <row r="31" spans="1:11" ht="14.1" customHeight="1" x14ac:dyDescent="0.2">
      <c r="A31" s="50" t="s">
        <v>20</v>
      </c>
      <c r="C31" s="56">
        <v>4.2300000000000004</v>
      </c>
      <c r="D31" s="51" t="s">
        <v>33</v>
      </c>
      <c r="G31" s="3"/>
    </row>
    <row r="32" spans="1:11" ht="14.1" customHeight="1" thickBot="1" x14ac:dyDescent="0.25">
      <c r="A32" s="60" t="s">
        <v>77</v>
      </c>
      <c r="B32" s="62" t="s">
        <v>76</v>
      </c>
      <c r="C32" s="61">
        <f>12.8*C31/C26</f>
        <v>13.536000000000001</v>
      </c>
      <c r="D32" s="57" t="s">
        <v>75</v>
      </c>
      <c r="G32" s="3"/>
    </row>
    <row r="33" spans="1:14" ht="14.1" customHeight="1" thickTop="1" x14ac:dyDescent="0.2">
      <c r="A33" s="11"/>
      <c r="B33" s="16" t="s">
        <v>35</v>
      </c>
      <c r="C33" s="11"/>
      <c r="G33" s="3"/>
    </row>
    <row r="34" spans="1:14" ht="14.1" customHeight="1" thickBot="1" x14ac:dyDescent="0.25">
      <c r="A34" s="8" t="s">
        <v>22</v>
      </c>
      <c r="D34" s="8"/>
    </row>
    <row r="35" spans="1:14" ht="14.1" customHeight="1" thickTop="1" x14ac:dyDescent="0.2">
      <c r="A35" s="18" t="s">
        <v>10</v>
      </c>
      <c r="B35" s="40">
        <f>E12*2/(B10/100)</f>
        <v>58.86363636363636</v>
      </c>
      <c r="C35" s="21" t="s">
        <v>29</v>
      </c>
    </row>
    <row r="36" spans="1:14" ht="14.1" customHeight="1" x14ac:dyDescent="0.2">
      <c r="A36" s="22" t="s">
        <v>9</v>
      </c>
      <c r="B36" s="41">
        <f>B7*1.414</f>
        <v>127.25999999999999</v>
      </c>
      <c r="C36" s="23" t="s">
        <v>28</v>
      </c>
    </row>
    <row r="37" spans="1:14" ht="14.1" customHeight="1" x14ac:dyDescent="0.2">
      <c r="A37" s="22" t="s">
        <v>0</v>
      </c>
      <c r="B37" s="41">
        <f>1/(B9*0.001*(B36/C26/E8+1))</f>
        <v>10.480964373360845</v>
      </c>
      <c r="C37" s="23" t="s">
        <v>86</v>
      </c>
    </row>
    <row r="38" spans="1:14" ht="14.1" customHeight="1" x14ac:dyDescent="0.2">
      <c r="A38" s="22" t="s">
        <v>7</v>
      </c>
      <c r="B38" s="41">
        <f>B39*B41/C26/C26/E8</f>
        <v>9.0122130145533852</v>
      </c>
      <c r="C38" s="23" t="s">
        <v>86</v>
      </c>
    </row>
    <row r="39" spans="1:14" ht="14.1" customHeight="1" x14ac:dyDescent="0.2">
      <c r="A39" s="22" t="s">
        <v>51</v>
      </c>
      <c r="B39" s="45">
        <f>B9*0.001*B36*B36*B37*B37/2/B35</f>
        <v>775.22292837392172</v>
      </c>
      <c r="C39" s="29" t="s">
        <v>63</v>
      </c>
    </row>
    <row r="40" spans="1:14" ht="14.1" customHeight="1" x14ac:dyDescent="0.2">
      <c r="A40" s="22" t="s">
        <v>58</v>
      </c>
      <c r="B40" s="42">
        <f>B36*B37/B39</f>
        <v>1.7205470547054704</v>
      </c>
      <c r="C40" s="23" t="s">
        <v>30</v>
      </c>
    </row>
    <row r="41" spans="1:14" ht="14.1" customHeight="1" thickBot="1" x14ac:dyDescent="0.25">
      <c r="A41" s="24" t="s">
        <v>59</v>
      </c>
      <c r="B41" s="43">
        <f>B40*C26</f>
        <v>6.8821882188218817</v>
      </c>
      <c r="C41" s="26" t="s">
        <v>30</v>
      </c>
    </row>
    <row r="42" spans="1:14" ht="14.1" customHeight="1" thickTop="1" x14ac:dyDescent="0.2">
      <c r="A42" s="11"/>
      <c r="B42" s="42"/>
      <c r="C42" s="12"/>
    </row>
    <row r="43" spans="1:14" ht="14.1" customHeight="1" thickBot="1" x14ac:dyDescent="0.25">
      <c r="A43" s="64" t="s">
        <v>88</v>
      </c>
      <c r="B43" s="42"/>
      <c r="C43" s="12"/>
    </row>
    <row r="44" spans="1:14" ht="14.1" customHeight="1" thickTop="1" thickBot="1" x14ac:dyDescent="0.25">
      <c r="A44" s="65" t="s">
        <v>84</v>
      </c>
      <c r="B44" s="66">
        <f>((B16/6)*(E10*C26/C31-0.7)-B16)</f>
        <v>5975.531914893616</v>
      </c>
      <c r="C44" s="67" t="s">
        <v>70</v>
      </c>
      <c r="D44" s="68" t="s">
        <v>87</v>
      </c>
      <c r="E44" s="101">
        <v>5760</v>
      </c>
      <c r="F44" s="70" t="s">
        <v>70</v>
      </c>
      <c r="G44" s="70" t="s">
        <v>72</v>
      </c>
      <c r="H44" s="71">
        <f>((6.7+6*E44/B16)*C31/C26)</f>
        <v>43.632450000000013</v>
      </c>
      <c r="I44" s="69" t="s">
        <v>26</v>
      </c>
      <c r="J44" s="46"/>
      <c r="N44" s="46"/>
    </row>
    <row r="45" spans="1:14" ht="14.1" customHeight="1" thickTop="1" x14ac:dyDescent="0.2">
      <c r="A45" s="50" t="s">
        <v>73</v>
      </c>
      <c r="B45" s="42">
        <f>(0.25/B40)/1.15</f>
        <v>0.12635010693447146</v>
      </c>
      <c r="C45" s="12" t="s">
        <v>70</v>
      </c>
      <c r="D45" s="52" t="s">
        <v>89</v>
      </c>
      <c r="E45" s="79"/>
    </row>
    <row r="46" spans="1:14" ht="14.1" customHeight="1" thickBot="1" x14ac:dyDescent="0.25">
      <c r="A46" s="72" t="s">
        <v>85</v>
      </c>
      <c r="B46" s="73">
        <f>(2000*B35*B39/(0.95*B7)/1.414/0.25)*(1/(0.95*B7)/1.414+1/C26/E8)</f>
        <v>45379.20434395421</v>
      </c>
      <c r="C46" s="76" t="s">
        <v>70</v>
      </c>
      <c r="D46" s="62" t="s">
        <v>89</v>
      </c>
      <c r="E46" s="78"/>
    </row>
    <row r="47" spans="1:14" ht="14.1" customHeight="1" thickTop="1" x14ac:dyDescent="0.2">
      <c r="A47" s="11"/>
      <c r="B47" s="42"/>
      <c r="C47" s="12"/>
    </row>
    <row r="48" spans="1:14" ht="14.1" customHeight="1" x14ac:dyDescent="0.2">
      <c r="A48" s="50"/>
      <c r="F48" s="46"/>
    </row>
    <row r="49" spans="1:4" ht="14.1" customHeight="1" x14ac:dyDescent="0.2"/>
    <row r="50" spans="1:4" ht="14.1" customHeight="1" x14ac:dyDescent="0.2">
      <c r="A50" s="50"/>
      <c r="B50" s="3"/>
      <c r="C50" s="46"/>
    </row>
    <row r="51" spans="1:4" ht="14.1" customHeight="1" x14ac:dyDescent="0.2"/>
    <row r="52" spans="1:4" ht="14.1" customHeight="1" x14ac:dyDescent="0.2"/>
    <row r="53" spans="1:4" ht="14.1" customHeight="1" x14ac:dyDescent="0.2"/>
    <row r="54" spans="1:4" ht="14.1" customHeight="1" x14ac:dyDescent="0.2"/>
    <row r="55" spans="1:4" ht="14.1" customHeight="1" x14ac:dyDescent="0.2"/>
    <row r="56" spans="1:4" ht="14.1" customHeight="1" x14ac:dyDescent="0.2"/>
    <row r="57" spans="1:4" ht="14.1" customHeight="1" x14ac:dyDescent="0.2"/>
    <row r="58" spans="1:4" ht="14.1" customHeight="1" x14ac:dyDescent="0.2"/>
    <row r="59" spans="1:4" x14ac:dyDescent="0.2">
      <c r="D59" s="2"/>
    </row>
    <row r="60" spans="1:4" x14ac:dyDescent="0.2">
      <c r="A60" s="8"/>
      <c r="D60" s="2"/>
    </row>
    <row r="61" spans="1:4" x14ac:dyDescent="0.2">
      <c r="B61" s="17"/>
      <c r="C61" s="15"/>
      <c r="D61" s="15"/>
    </row>
    <row r="62" spans="1:4" x14ac:dyDescent="0.2">
      <c r="B62" s="7"/>
      <c r="C62" s="7"/>
      <c r="D62" s="15"/>
    </row>
    <row r="63" spans="1:4" x14ac:dyDescent="0.2">
      <c r="B63" s="10"/>
      <c r="C63" s="10"/>
      <c r="D63" s="15"/>
    </row>
    <row r="64" spans="1:4" x14ac:dyDescent="0.2">
      <c r="B64" s="10"/>
      <c r="C64" s="10"/>
      <c r="D64" s="15"/>
    </row>
    <row r="65" spans="1:4" x14ac:dyDescent="0.2">
      <c r="B65" s="9"/>
      <c r="C65" s="9"/>
      <c r="D65" s="9"/>
    </row>
    <row r="66" spans="1:4" x14ac:dyDescent="0.2">
      <c r="B66" s="15"/>
      <c r="C66" s="15"/>
      <c r="D66" s="15"/>
    </row>
    <row r="67" spans="1:4" x14ac:dyDescent="0.2">
      <c r="B67" s="15"/>
      <c r="C67" s="15"/>
      <c r="D67" s="15"/>
    </row>
    <row r="70" spans="1:4" x14ac:dyDescent="0.2">
      <c r="A70" s="8"/>
      <c r="B70" s="2"/>
    </row>
    <row r="71" spans="1:4" x14ac:dyDescent="0.2">
      <c r="B71" s="5"/>
      <c r="C71" s="6"/>
    </row>
    <row r="72" spans="1:4" x14ac:dyDescent="0.2">
      <c r="A72" s="7"/>
      <c r="B72" s="7"/>
      <c r="C72" s="10"/>
      <c r="D72" s="15"/>
    </row>
    <row r="73" spans="1:4" x14ac:dyDescent="0.2">
      <c r="A73" s="7"/>
      <c r="B73" s="7"/>
      <c r="C73" s="10"/>
      <c r="D73" s="15"/>
    </row>
    <row r="74" spans="1:4" x14ac:dyDescent="0.2">
      <c r="A74" s="7"/>
      <c r="B74" s="7"/>
      <c r="C74" s="10"/>
      <c r="D74" s="15"/>
    </row>
    <row r="75" spans="1:4" x14ac:dyDescent="0.2">
      <c r="A75" s="7"/>
      <c r="B75" s="7"/>
      <c r="C75" s="10"/>
      <c r="D75" s="15"/>
    </row>
    <row r="76" spans="1:4" x14ac:dyDescent="0.2">
      <c r="A76" s="7"/>
      <c r="B76" s="7"/>
      <c r="C76" s="10"/>
      <c r="D76" s="15"/>
    </row>
    <row r="77" spans="1:4" x14ac:dyDescent="0.2">
      <c r="A77" s="7"/>
      <c r="B77" s="7"/>
      <c r="C77" s="10"/>
      <c r="D77" s="15"/>
    </row>
    <row r="78" spans="1:4" x14ac:dyDescent="0.2">
      <c r="A78" s="7"/>
      <c r="B78" s="7"/>
      <c r="C78" s="10"/>
      <c r="D78" s="15"/>
    </row>
    <row r="79" spans="1:4" x14ac:dyDescent="0.2">
      <c r="A79" s="7"/>
      <c r="B79" s="7"/>
      <c r="C79" s="10"/>
      <c r="D79" s="15"/>
    </row>
    <row r="80" spans="1:4" x14ac:dyDescent="0.2">
      <c r="A80" s="7"/>
      <c r="B80" s="7"/>
      <c r="C80" s="10"/>
      <c r="D80" s="15"/>
    </row>
    <row r="81" spans="1:4" x14ac:dyDescent="0.2">
      <c r="A81" s="7"/>
      <c r="B81" s="7"/>
      <c r="C81" s="10"/>
      <c r="D81" s="15"/>
    </row>
  </sheetData>
  <sheetProtection password="DD03" sheet="1" objects="1" scenarios="1" selectLockedCells="1"/>
  <mergeCells count="3">
    <mergeCell ref="B1:G1"/>
    <mergeCell ref="B4:C4"/>
    <mergeCell ref="A30:B30"/>
  </mergeCells>
  <phoneticPr fontId="1" type="noConversion"/>
  <dataValidations count="10">
    <dataValidation type="decimal" operator="greaterThanOrEqual" allowBlank="1" showInputMessage="1" showErrorMessage="1" error="Maximum input voltage must be greater than Minimum input voltage." sqref="B8">
      <formula1>B7</formula1>
    </dataValidation>
    <dataValidation type="decimal" errorStyle="warning" operator="greaterThan" allowBlank="1" showErrorMessage="1" errorTitle="Low OVP voltage" error="Maximum OVP voltage should be at least 10% higher than Max LED voltage" promptTitle="Minimum OVP Threshold" prompt="Maximum OVP voltage should be at least 10% higher than Max LED voltage to avoid conflict with output ripple voltage." sqref="E10">
      <formula1>1.1*E9</formula1>
    </dataValidation>
    <dataValidation type="decimal" allowBlank="1" showInputMessage="1" showErrorMessage="1" errorTitle="Turns Ratio" error="Selected turns ratio must be between minium and maxium values." sqref="C26:C28">
      <formula1>C25</formula1>
      <formula2>C24</formula2>
    </dataValidation>
    <dataValidation type="decimal" errorStyle="information" allowBlank="1" showErrorMessage="1" errorTitle="Turns Ratio" error="Selected turns ratio should be between minimum and maximum values for optimum efficiency." sqref="C31">
      <formula1>C30</formula1>
      <formula2>C29</formula2>
    </dataValidation>
    <dataValidation allowBlank="1" sqref="C29:C30"/>
    <dataValidation type="decimal" errorStyle="warning" allowBlank="1" showInputMessage="1" showErrorMessage="1" error="Derating must be between 0.1 and 1.0" sqref="E21 B21">
      <formula1>0.1</formula1>
      <formula2>1</formula2>
    </dataValidation>
    <dataValidation type="whole" errorStyle="warning" operator="greaterThan" allowBlank="1" showInputMessage="1" showErrorMessage="1" errorTitle="Diode Voltage" error="Diode voltage may be too low" sqref="E20">
      <formula1>E8/E21</formula1>
    </dataValidation>
    <dataValidation type="decimal" operator="lessThan" allowBlank="1" showInputMessage="1" showErrorMessage="1" errorTitle="Frequency out of bounds" error="Frequency can be no greater than 300kHz" sqref="B9">
      <formula1>300</formula1>
    </dataValidation>
    <dataValidation type="decimal" allowBlank="1" showInputMessage="1" showErrorMessage="1" error="Estimated efficiecny must not exceed 100%" sqref="B10">
      <formula1>10</formula1>
      <formula2>100</formula2>
    </dataValidation>
    <dataValidation type="whole" errorStyle="warning" operator="greaterThan" allowBlank="1" showInputMessage="1" showErrorMessage="1" errorTitle="FET Voltage" error="FET Voltage rating may be too low" sqref="B20">
      <formula1>B8*1.414/B21</formula1>
    </dataValidation>
  </dataValidations>
  <pageMargins left="0.75" right="0.75" top="1" bottom="1" header="0.5" footer="0.5"/>
  <pageSetup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15"/>
  <sheetViews>
    <sheetView workbookViewId="0">
      <selection activeCell="L16" sqref="L16"/>
    </sheetView>
  </sheetViews>
  <sheetFormatPr defaultRowHeight="12.75" x14ac:dyDescent="0.2"/>
  <cols>
    <col min="10" max="10" width="10" customWidth="1"/>
  </cols>
  <sheetData>
    <row r="3" spans="1:12" x14ac:dyDescent="0.2">
      <c r="F3" t="s">
        <v>40</v>
      </c>
      <c r="G3" t="s">
        <v>38</v>
      </c>
      <c r="H3" t="s">
        <v>42</v>
      </c>
      <c r="I3" t="s">
        <v>44</v>
      </c>
      <c r="J3" t="s">
        <v>46</v>
      </c>
      <c r="K3" t="s">
        <v>47</v>
      </c>
      <c r="L3" t="s">
        <v>49</v>
      </c>
    </row>
    <row r="4" spans="1:12" x14ac:dyDescent="0.2">
      <c r="B4" s="2"/>
      <c r="F4" t="s">
        <v>41</v>
      </c>
      <c r="G4" t="s">
        <v>39</v>
      </c>
      <c r="H4" t="s">
        <v>43</v>
      </c>
      <c r="I4" t="s">
        <v>45</v>
      </c>
      <c r="J4" t="s">
        <v>43</v>
      </c>
      <c r="K4" t="s">
        <v>48</v>
      </c>
      <c r="L4" t="s">
        <v>50</v>
      </c>
    </row>
    <row r="5" spans="1:12" x14ac:dyDescent="0.2">
      <c r="A5" t="s">
        <v>36</v>
      </c>
      <c r="B5">
        <f>'Worksheet Information'!B8</f>
        <v>305</v>
      </c>
      <c r="D5" t="s">
        <v>32</v>
      </c>
      <c r="F5">
        <f>B6</f>
        <v>90</v>
      </c>
      <c r="G5">
        <f>F5*1.414</f>
        <v>127.25999999999999</v>
      </c>
      <c r="H5">
        <f>(2*'Worksheet Information'!$B$35/G5)*(G5/'Worksheet Information'!$C$26/'Worksheet Information'!$E$8+1)</f>
        <v>1.7205470547054706</v>
      </c>
      <c r="I5" s="4">
        <f>'Worksheet Information'!$B$39*H5/G5/1000</f>
        <v>1.0480964373360846E-2</v>
      </c>
      <c r="J5">
        <f>H5*'Worksheet Information'!$C$26</f>
        <v>6.8821882188218826</v>
      </c>
      <c r="K5" s="4">
        <f>'Worksheet Information'!$B$39*0.001/'Worksheet Information'!$C$26/'Worksheet Information'!$C$26*J5/'Worksheet Information'!$E$8</f>
        <v>9.0122130145533861E-3</v>
      </c>
      <c r="L5" s="2">
        <f t="shared" ref="L5:L15" si="0">1/(I5+K5)</f>
        <v>51.3</v>
      </c>
    </row>
    <row r="6" spans="1:12" x14ac:dyDescent="0.2">
      <c r="A6" t="s">
        <v>37</v>
      </c>
      <c r="B6">
        <f>'Worksheet Information'!B7</f>
        <v>90</v>
      </c>
      <c r="D6">
        <f>(B5-B6)/10</f>
        <v>21.5</v>
      </c>
      <c r="F6">
        <f>B6+D6</f>
        <v>111.5</v>
      </c>
      <c r="G6">
        <f t="shared" ref="G6:G15" si="1">F6*1.414</f>
        <v>157.661</v>
      </c>
      <c r="H6">
        <f>(2*'Worksheet Information'!$B$35/G6)*(G6/'Worksheet Information'!$C$26/'Worksheet Information'!$E$8+1)</f>
        <v>1.5421659878992382</v>
      </c>
      <c r="I6" s="4">
        <f>'Worksheet Information'!$B$39*H6/G6/1000</f>
        <v>7.5828672479427974E-3</v>
      </c>
      <c r="J6">
        <f>H6*'Worksheet Information'!$C$26</f>
        <v>6.1686639515969528</v>
      </c>
      <c r="K6" s="4">
        <f>'Worksheet Information'!$B$39*0.001/'Worksheet Information'!$C$26/'Worksheet Information'!$C$26*J6/'Worksheet Information'!$E$8</f>
        <v>8.0778542782291175E-3</v>
      </c>
      <c r="L6" s="2">
        <f t="shared" si="0"/>
        <v>63.854018368746175</v>
      </c>
    </row>
    <row r="7" spans="1:12" x14ac:dyDescent="0.2">
      <c r="F7">
        <f>F6+$D$6</f>
        <v>133</v>
      </c>
      <c r="G7">
        <f t="shared" si="1"/>
        <v>188.06199999999998</v>
      </c>
      <c r="H7">
        <f>(2*'Worksheet Information'!$B$35/G7)*(G7/'Worksheet Information'!$C$26/'Worksheet Information'!$E$8+1)</f>
        <v>1.4214569953235925</v>
      </c>
      <c r="I7" s="4">
        <f>'Worksheet Information'!$B$39*H7/G7/1000</f>
        <v>5.8594828007377956E-3</v>
      </c>
      <c r="J7">
        <f>H7*'Worksheet Information'!$C$26</f>
        <v>5.6858279812943699</v>
      </c>
      <c r="K7" s="4">
        <f>'Worksheet Information'!$B$39*0.001/'Worksheet Information'!$C$26/'Worksheet Information'!$C$26*J7/'Worksheet Information'!$E$8</f>
        <v>7.445581449137509E-3</v>
      </c>
      <c r="L7" s="2">
        <f t="shared" si="0"/>
        <v>75.159351448405971</v>
      </c>
    </row>
    <row r="8" spans="1:12" x14ac:dyDescent="0.2">
      <c r="F8">
        <f t="shared" ref="F8:F15" si="2">F7+$D$6</f>
        <v>154.5</v>
      </c>
      <c r="G8">
        <f t="shared" si="1"/>
        <v>218.46299999999999</v>
      </c>
      <c r="H8">
        <f>(2*'Worksheet Information'!$B$35/G8)*(G8/'Worksheet Information'!$C$26/'Worksheet Information'!$E$8+1)</f>
        <v>1.3343433857948901</v>
      </c>
      <c r="I8" s="4">
        <f>'Worksheet Information'!$B$39*H8/G8/1000</f>
        <v>4.7349600938936488E-3</v>
      </c>
      <c r="J8">
        <f>H8*'Worksheet Information'!$C$26</f>
        <v>5.3373735431795604</v>
      </c>
      <c r="K8" s="4">
        <f>'Worksheet Information'!$B$39*0.001/'Worksheet Information'!$C$26/'Worksheet Information'!$C$26*J8/'Worksheet Information'!$E$8</f>
        <v>6.9892809931911375E-3</v>
      </c>
      <c r="L8" s="2">
        <f t="shared" si="0"/>
        <v>85.293367184472345</v>
      </c>
    </row>
    <row r="9" spans="1:12" x14ac:dyDescent="0.2">
      <c r="F9">
        <f t="shared" si="2"/>
        <v>176</v>
      </c>
      <c r="G9">
        <f t="shared" si="1"/>
        <v>248.86399999999998</v>
      </c>
      <c r="H9">
        <f>(2*'Worksheet Information'!$B$35/G9)*(G9/'Worksheet Information'!$C$26/'Worksheet Information'!$E$8+1)</f>
        <v>1.2685132149578593</v>
      </c>
      <c r="I9" s="4">
        <f>'Worksheet Information'!$B$39*H9/G9/1000</f>
        <v>3.9514776310782184E-3</v>
      </c>
      <c r="J9">
        <f>H9*'Worksheet Information'!$C$26</f>
        <v>5.0740528598314372</v>
      </c>
      <c r="K9" s="4">
        <f>'Worksheet Information'!$B$39*0.001/'Worksheet Information'!$C$26/'Worksheet Information'!$C$26*J9/'Worksheet Information'!$E$8</f>
        <v>6.6444630350043898E-3</v>
      </c>
      <c r="L9" s="2">
        <f t="shared" si="0"/>
        <v>94.375764409570536</v>
      </c>
    </row>
    <row r="10" spans="1:12" x14ac:dyDescent="0.2">
      <c r="F10">
        <f t="shared" si="2"/>
        <v>197.5</v>
      </c>
      <c r="G10">
        <f t="shared" si="1"/>
        <v>279.26499999999999</v>
      </c>
      <c r="H10">
        <f>(2*'Worksheet Information'!$B$35/G10)*(G10/'Worksheet Information'!$C$26/'Worksheet Information'!$E$8+1)</f>
        <v>1.2170156889106631</v>
      </c>
      <c r="I10" s="4">
        <f>'Worksheet Information'!$B$39*H10/G10/1000</f>
        <v>3.3783627244170595E-3</v>
      </c>
      <c r="J10">
        <f>H10*'Worksheet Information'!$C$26</f>
        <v>4.8680627556426526</v>
      </c>
      <c r="K10" s="4">
        <f>'Worksheet Information'!$B$39*0.001/'Worksheet Information'!$C$26/'Worksheet Information'!$C$26*J10/'Worksheet Information'!$E$8</f>
        <v>6.3747193664481757E-3</v>
      </c>
      <c r="L10" s="2">
        <f t="shared" si="0"/>
        <v>102.53169107810575</v>
      </c>
    </row>
    <row r="11" spans="1:12" x14ac:dyDescent="0.2">
      <c r="F11">
        <f t="shared" si="2"/>
        <v>219</v>
      </c>
      <c r="G11">
        <f t="shared" si="1"/>
        <v>309.666</v>
      </c>
      <c r="H11">
        <f>(2*'Worksheet Information'!$B$35/G11)*(G11/'Worksheet Information'!$C$26/'Worksheet Information'!$E$8+1)</f>
        <v>1.1756295492562954</v>
      </c>
      <c r="I11" s="4">
        <f>'Worksheet Information'!$B$39*H11/G11/1000</f>
        <v>2.9430902387003379E-3</v>
      </c>
      <c r="J11">
        <f>H11*'Worksheet Information'!$C$26</f>
        <v>4.7025181970251815</v>
      </c>
      <c r="K11" s="4">
        <f>'Worksheet Information'!$B$39*0.001/'Worksheet Information'!$C$26/'Worksheet Information'!$C$26*J11/'Worksheet Information'!$E$8</f>
        <v>6.1579390666039119E-3</v>
      </c>
      <c r="L11" s="2">
        <f t="shared" si="0"/>
        <v>109.87768157357556</v>
      </c>
    </row>
    <row r="12" spans="1:12" x14ac:dyDescent="0.2">
      <c r="F12">
        <f t="shared" si="2"/>
        <v>240.5</v>
      </c>
      <c r="G12">
        <f t="shared" si="1"/>
        <v>340.06700000000001</v>
      </c>
      <c r="H12">
        <f>(2*'Worksheet Information'!$B$35/G12)*(G12/'Worksheet Information'!$C$26/'Worksheet Information'!$E$8+1)</f>
        <v>1.1416430104548916</v>
      </c>
      <c r="I12" s="4">
        <f>'Worksheet Information'!$B$39*H12/G12/1000</f>
        <v>2.6025102045257572E-3</v>
      </c>
      <c r="J12">
        <f>H12*'Worksheet Information'!$C$26</f>
        <v>4.5665720418195663</v>
      </c>
      <c r="K12" s="4">
        <f>'Worksheet Information'!$B$39*0.001/'Worksheet Information'!$C$26/'Worksheet Information'!$C$26*J12/'Worksheet Information'!$E$8</f>
        <v>5.9799178224490589E-3</v>
      </c>
      <c r="L12" s="2">
        <f t="shared" si="0"/>
        <v>116.51714373333181</v>
      </c>
    </row>
    <row r="13" spans="1:12" x14ac:dyDescent="0.2">
      <c r="F13">
        <f t="shared" si="2"/>
        <v>262</v>
      </c>
      <c r="G13">
        <f t="shared" si="1"/>
        <v>370.46799999999996</v>
      </c>
      <c r="H13">
        <f>(2*'Worksheet Information'!$B$35/G13)*(G13/'Worksheet Information'!$C$26/'Worksheet Information'!$E$8+1)</f>
        <v>1.1132344150445579</v>
      </c>
      <c r="I13" s="4">
        <f>'Worksheet Information'!$B$39*H13/G13/1000</f>
        <v>2.3294990206913203E-3</v>
      </c>
      <c r="J13">
        <f>H13*'Worksheet Information'!$C$26</f>
        <v>4.4529376601782316</v>
      </c>
      <c r="K13" s="4">
        <f>'Worksheet Information'!$B$39*0.001/'Worksheet Information'!$C$26/'Worksheet Information'!$C$26*J13/'Worksheet Information'!$E$8</f>
        <v>5.8311138053883244E-3</v>
      </c>
      <c r="L13" s="2">
        <f t="shared" si="0"/>
        <v>122.53981671624037</v>
      </c>
    </row>
    <row r="14" spans="1:12" x14ac:dyDescent="0.2">
      <c r="F14">
        <f t="shared" si="2"/>
        <v>283.5</v>
      </c>
      <c r="G14">
        <f t="shared" si="1"/>
        <v>400.86899999999997</v>
      </c>
      <c r="H14">
        <f>(2*'Worksheet Information'!$B$35/G14)*(G14/'Worksheet Information'!$C$26/'Worksheet Information'!$E$8+1)</f>
        <v>1.0891347071215058</v>
      </c>
      <c r="I14" s="4">
        <f>'Worksheet Information'!$B$39*H14/G14/1000</f>
        <v>2.1062297085791305E-3</v>
      </c>
      <c r="J14">
        <f>H14*'Worksheet Information'!$C$26</f>
        <v>4.3565388284860234</v>
      </c>
      <c r="K14" s="4">
        <f>'Worksheet Information'!$B$39*0.001/'Worksheet Information'!$C$26/'Worksheet Information'!$C$26*J14/'Worksheet Information'!$E$8</f>
        <v>5.7048797097865355E-3</v>
      </c>
      <c r="L14" s="2">
        <f t="shared" si="0"/>
        <v>128.02278734551794</v>
      </c>
    </row>
    <row r="15" spans="1:12" x14ac:dyDescent="0.2">
      <c r="F15">
        <f t="shared" si="2"/>
        <v>305</v>
      </c>
      <c r="G15">
        <f t="shared" si="1"/>
        <v>431.27</v>
      </c>
      <c r="H15">
        <f>(2*'Worksheet Information'!$B$35/G15)*(G15/'Worksheet Information'!$C$26/'Worksheet Information'!$E$8+1)</f>
        <v>1.0684326629384249</v>
      </c>
      <c r="I15" s="4">
        <f>'Worksheet Information'!$B$39*H15/G15/1000</f>
        <v>1.9205451288832355E-3</v>
      </c>
      <c r="J15">
        <f>H15*'Worksheet Information'!$C$26</f>
        <v>4.2737306517536995</v>
      </c>
      <c r="K15" s="4">
        <f>'Worksheet Information'!$B$39*0.001/'Worksheet Information'!$C$26/'Worksheet Information'!$C$26*J15/'Worksheet Information'!$E$8</f>
        <v>5.5964425522531964E-3</v>
      </c>
      <c r="L15" s="2">
        <f t="shared" si="0"/>
        <v>133.03201261184162</v>
      </c>
    </row>
  </sheetData>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1"/>
  <sheetViews>
    <sheetView workbookViewId="0">
      <selection activeCell="D5" sqref="D5"/>
    </sheetView>
  </sheetViews>
  <sheetFormatPr defaultRowHeight="12.75" x14ac:dyDescent="0.2"/>
  <cols>
    <col min="1" max="1" width="21.28515625" customWidth="1"/>
  </cols>
  <sheetData>
    <row r="1" spans="1:7" x14ac:dyDescent="0.2">
      <c r="A1" s="84" t="s">
        <v>91</v>
      </c>
      <c r="B1" s="85"/>
      <c r="C1" s="85"/>
      <c r="D1" s="85"/>
      <c r="E1" s="85"/>
      <c r="F1" s="84" t="s">
        <v>93</v>
      </c>
      <c r="G1" s="85"/>
    </row>
    <row r="2" spans="1:7" x14ac:dyDescent="0.2">
      <c r="A2" s="85"/>
      <c r="B2" s="85"/>
      <c r="C2" s="85"/>
      <c r="D2" s="85"/>
      <c r="E2" s="85"/>
      <c r="F2" s="85"/>
      <c r="G2" s="85"/>
    </row>
    <row r="3" spans="1:7" ht="13.5" thickBot="1" x14ac:dyDescent="0.25">
      <c r="A3" s="86" t="s">
        <v>1</v>
      </c>
      <c r="B3" s="85"/>
      <c r="C3" s="85"/>
      <c r="D3" s="87"/>
      <c r="E3" s="85"/>
      <c r="F3" s="85"/>
      <c r="G3" s="85"/>
    </row>
    <row r="4" spans="1:7" ht="13.5" thickTop="1" x14ac:dyDescent="0.2">
      <c r="A4" s="88" t="s">
        <v>16</v>
      </c>
      <c r="B4" s="89" t="s">
        <v>12</v>
      </c>
      <c r="C4" s="89" t="s">
        <v>11</v>
      </c>
      <c r="D4" s="90" t="s">
        <v>13</v>
      </c>
      <c r="E4" s="91"/>
      <c r="F4" s="85"/>
      <c r="G4" s="85"/>
    </row>
    <row r="5" spans="1:7" x14ac:dyDescent="0.2">
      <c r="A5" s="92" t="s">
        <v>2</v>
      </c>
      <c r="B5" s="39">
        <v>0.31</v>
      </c>
      <c r="C5" s="93">
        <v>0.57999999999999996</v>
      </c>
      <c r="D5" s="36">
        <v>0.52</v>
      </c>
      <c r="E5" s="94" t="s">
        <v>31</v>
      </c>
      <c r="F5" s="85"/>
      <c r="G5" s="85"/>
    </row>
    <row r="6" spans="1:7" x14ac:dyDescent="0.2">
      <c r="A6" s="92" t="s">
        <v>60</v>
      </c>
      <c r="B6" s="36">
        <v>3200</v>
      </c>
      <c r="C6" s="36">
        <v>3200</v>
      </c>
      <c r="D6" s="38">
        <v>3200</v>
      </c>
      <c r="E6" s="94" t="s">
        <v>8</v>
      </c>
      <c r="F6" s="85"/>
      <c r="G6" s="85"/>
    </row>
    <row r="7" spans="1:7" x14ac:dyDescent="0.2">
      <c r="A7" s="92" t="s">
        <v>3</v>
      </c>
      <c r="B7" s="95">
        <f>'Worksheet Information'!$B$39*'Worksheet Information'!$B$40*100/B6/B5</f>
        <v>134.45640384615936</v>
      </c>
      <c r="C7" s="95">
        <f>'Worksheet Information'!$B$39*'Worksheet Information'!$B$40*100/C6/C5</f>
        <v>71.864629641912771</v>
      </c>
      <c r="D7" s="95">
        <f>'Worksheet Information'!$B$39*'Worksheet Information'!$B$40*100/D6/D5</f>
        <v>80.156702292902693</v>
      </c>
      <c r="E7" s="94" t="s">
        <v>4</v>
      </c>
      <c r="F7" s="85"/>
      <c r="G7" s="85"/>
    </row>
    <row r="8" spans="1:7" x14ac:dyDescent="0.2">
      <c r="A8" s="92" t="s">
        <v>61</v>
      </c>
      <c r="B8" s="96">
        <f>0.5*B7*'Worksheet Information'!$B$40/B6</f>
        <v>3.6146651503718562E-2</v>
      </c>
      <c r="C8" s="96">
        <f>0.5*C7*'Worksheet Information'!$B$40/C6</f>
        <v>1.9319762010608196E-2</v>
      </c>
      <c r="D8" s="96">
        <f>0.5*D7*'Worksheet Information'!$B$40/D6</f>
        <v>2.1548965319524521E-2</v>
      </c>
      <c r="E8" s="94" t="s">
        <v>5</v>
      </c>
      <c r="F8" s="85"/>
      <c r="G8" s="85"/>
    </row>
    <row r="9" spans="1:7" x14ac:dyDescent="0.2">
      <c r="A9" s="92" t="s">
        <v>6</v>
      </c>
      <c r="B9" s="95">
        <f>B7/'Worksheet Information'!$C$26</f>
        <v>33.61410096153984</v>
      </c>
      <c r="C9" s="95">
        <f>C7/'Worksheet Information'!$C$26</f>
        <v>17.966157410478193</v>
      </c>
      <c r="D9" s="95">
        <f>D7/'Worksheet Information'!$C$26</f>
        <v>20.039175573225673</v>
      </c>
      <c r="E9" s="94" t="s">
        <v>4</v>
      </c>
      <c r="F9" s="85"/>
      <c r="G9" s="85"/>
    </row>
    <row r="10" spans="1:7" ht="13.5" thickBot="1" x14ac:dyDescent="0.25">
      <c r="A10" s="97" t="s">
        <v>21</v>
      </c>
      <c r="B10" s="98">
        <f>B7/'Worksheet Information'!$C$31</f>
        <v>31.786383887980932</v>
      </c>
      <c r="C10" s="98">
        <f>C7/'Worksheet Information'!$C$31</f>
        <v>16.989274147024293</v>
      </c>
      <c r="D10" s="98">
        <f>D7/'Worksheet Information'!$C$31</f>
        <v>18.949575010142478</v>
      </c>
      <c r="E10" s="99" t="s">
        <v>4</v>
      </c>
      <c r="F10" s="85"/>
      <c r="G10" s="85"/>
    </row>
    <row r="11" spans="1:7" ht="13.5" thickTop="1" x14ac:dyDescent="0.2"/>
  </sheetData>
  <sheetProtection password="DD03" sheet="1" objects="1" scenarios="1" selectLockedCells="1"/>
  <pageMargins left="0.7" right="0.7" top="0.75" bottom="0.75" header="0.3" footer="0.3"/>
  <pageSetup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Worksheet Information</vt:lpstr>
      <vt:lpstr>Hidden</vt:lpstr>
      <vt:lpstr>XFMR</vt:lpstr>
    </vt:vector>
  </TitlesOfParts>
  <Company>ON Semiconductor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Young</dc:creator>
  <cp:lastModifiedBy>user</cp:lastModifiedBy>
  <cp:lastPrinted>2010-01-12T15:28:12Z</cp:lastPrinted>
  <dcterms:created xsi:type="dcterms:W3CDTF">2009-10-05T15:44:45Z</dcterms:created>
  <dcterms:modified xsi:type="dcterms:W3CDTF">2015-08-24T16:41:38Z</dcterms:modified>
</cp:coreProperties>
</file>