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6290" windowHeight="11760"/>
  </bookViews>
  <sheets>
    <sheet name="Sheet1" sheetId="1" r:id="rId1"/>
    <sheet name="Sheet2" sheetId="2" r:id="rId2"/>
    <sheet name="Sheet3" sheetId="3" r:id="rId3"/>
  </sheets>
  <definedNames>
    <definedName name="Ae">Sheet1!$J$28</definedName>
    <definedName name="Bmax">Sheet1!$J$29</definedName>
    <definedName name="Duty.max">Sheet1!$J$24</definedName>
    <definedName name="Eff">Sheet1!$J$27</definedName>
    <definedName name="Iout">Sheet1!$D$27</definedName>
    <definedName name="Iw.max">Sheet1!#REF!</definedName>
    <definedName name="Llk">Sheet1!#REF!</definedName>
    <definedName name="Lm">Sheet1!$J$30</definedName>
    <definedName name="Na">Sheet1!$J$33</definedName>
    <definedName name="Nap">Sheet1!$J$34</definedName>
    <definedName name="Nas">Sheet1!#REF!</definedName>
    <definedName name="Np">Sheet1!$J$32</definedName>
    <definedName name="Np.min">Sheet1!$J$31</definedName>
    <definedName name="Nps">Sheet1!#REF!</definedName>
    <definedName name="Ns">Sheet1!#REF!</definedName>
    <definedName name="Pout">Sheet1!$D$28</definedName>
    <definedName name="Ton.max">Sheet1!$J$25</definedName>
    <definedName name="Vin.max">Sheet1!$D$24</definedName>
    <definedName name="Vin.min">Sheet1!$D$23</definedName>
    <definedName name="Vout">Sheet1!$D$25</definedName>
    <definedName name="Vout.max">Sheet1!$D$26</definedName>
    <definedName name="Vsn">Sheet1!#REF!</definedName>
    <definedName name="Vsn.r">Sheet1!#REF!</definedName>
  </definedNames>
  <calcPr calcId="125725"/>
</workbook>
</file>

<file path=xl/calcChain.xml><?xml version="1.0" encoding="utf-8"?>
<calcChain xmlns="http://schemas.openxmlformats.org/spreadsheetml/2006/main">
  <c r="O36" i="1"/>
  <c r="J36"/>
  <c r="J6"/>
  <c r="J10" l="1"/>
  <c r="N10"/>
  <c r="O34"/>
  <c r="J33"/>
  <c r="J34" s="1"/>
  <c r="J15" s="1"/>
  <c r="O33" l="1"/>
  <c r="L19" l="1"/>
  <c r="L20"/>
  <c r="L24"/>
  <c r="L27"/>
  <c r="L28"/>
  <c r="L12"/>
  <c r="L10"/>
  <c r="F27"/>
  <c r="O24" l="1"/>
  <c r="D28"/>
  <c r="J25"/>
  <c r="J17" s="1"/>
  <c r="J37" l="1"/>
  <c r="L25"/>
  <c r="J30" l="1"/>
  <c r="L30"/>
  <c r="J31"/>
  <c r="O37" l="1"/>
  <c r="J18"/>
  <c r="J35" s="1"/>
  <c r="O32"/>
  <c r="O38" l="1"/>
  <c r="Q24"/>
  <c r="O28"/>
  <c r="O27" s="1"/>
  <c r="Q28" s="1"/>
  <c r="Q29"/>
</calcChain>
</file>

<file path=xl/comments1.xml><?xml version="1.0" encoding="utf-8"?>
<comments xmlns="http://schemas.openxmlformats.org/spreadsheetml/2006/main">
  <authors>
    <author>info</author>
  </authors>
  <commentList>
    <comment ref="I24" authorId="0">
      <text>
        <r>
          <rPr>
            <b/>
            <sz val="11"/>
            <color indexed="81"/>
            <rFont val="Tahoma"/>
            <family val="2"/>
          </rPr>
          <t>Input Max. Duty in 20~50%.
High Max. Duty : Low conduction loss, Suitable for low-line
Low Max. Duty : More transformer flux saturation margin, Suitable for high-line</t>
        </r>
      </text>
    </comment>
    <comment ref="N25" authorId="0">
      <text>
        <r>
          <rPr>
            <b/>
            <sz val="11"/>
            <color indexed="81"/>
            <rFont val="Tahoma"/>
            <family val="2"/>
          </rPr>
          <t>Vin.bnk is VS blanking level.
In VS blanking, VS voltage detection is disabled. When Vin is close to zero crossing area, VS voltage detection is unstable. VS blanking protects VS voltage detection from sensing error at zero crossing area.
Vin.bnk is generally set as 30~70V.</t>
        </r>
      </text>
    </comment>
    <comment ref="C26" authorId="0">
      <text>
        <r>
          <rPr>
            <b/>
            <sz val="11"/>
            <color indexed="81"/>
            <rFont val="Tahoma"/>
            <family val="2"/>
          </rPr>
          <t>OVP level</t>
        </r>
      </text>
    </comment>
    <comment ref="I26" authorId="0">
      <text>
        <r>
          <rPr>
            <b/>
            <sz val="9"/>
            <color indexed="81"/>
            <rFont val="Tahoma"/>
            <family val="2"/>
          </rPr>
          <t>This switching frequency is the operating frequency at the rated Vout condition.
The switching frequency should be less than 65kHz.</t>
        </r>
      </text>
    </comment>
    <comment ref="N26" authorId="0">
      <text>
        <r>
          <rPr>
            <b/>
            <sz val="11"/>
            <color indexed="81"/>
            <rFont val="Tahoma"/>
            <family val="2"/>
          </rPr>
          <t>Vf is secondary diode forward voltage.</t>
        </r>
      </text>
    </comment>
    <comment ref="N29" authorId="0">
      <text>
        <r>
          <rPr>
            <b/>
            <sz val="11"/>
            <color indexed="81"/>
            <rFont val="Tahoma"/>
            <family val="2"/>
          </rPr>
          <t>Cvs is VS filter capacitor, generally set as 10 ~ 30pF.</t>
        </r>
      </text>
    </comment>
    <comment ref="N30" authorId="0">
      <text>
        <r>
          <rPr>
            <b/>
            <sz val="11"/>
            <color indexed="81"/>
            <rFont val="Tahoma"/>
            <family val="2"/>
          </rPr>
          <t>COMI capacitor is generally 0.68~3.3uF.
Check output voltage overshoot at startup in max. Vin condition.
If output voltage overshoot is too big, increase Ccomi.</t>
        </r>
      </text>
    </comment>
    <comment ref="N31" authorId="0">
      <text>
        <r>
          <rPr>
            <b/>
            <sz val="11"/>
            <color indexed="81"/>
            <rFont val="Tahoma"/>
            <family val="2"/>
          </rPr>
          <t>Vdd capacitor is generally in 10~47uF.
If Vdd drops too close to Vdd_stop at startup, increase Cvdd.</t>
        </r>
      </text>
    </comment>
    <comment ref="I32" authorId="0">
      <text>
        <r>
          <rPr>
            <b/>
            <sz val="11"/>
            <color indexed="81"/>
            <rFont val="Tahoma"/>
            <family val="2"/>
          </rPr>
          <t>Enter Np over Np.min.
If Np is too big to fit in transformer window, reduce Max. Duty.</t>
        </r>
      </text>
    </comment>
    <comment ref="N32" authorId="0">
      <text>
        <r>
          <rPr>
            <b/>
            <sz val="11"/>
            <color indexed="81"/>
            <rFont val="Tahoma"/>
            <family val="2"/>
          </rPr>
          <t>Maximum Dvdd reverse voltage.</t>
        </r>
      </text>
    </comment>
    <comment ref="N34" authorId="0">
      <text>
        <r>
          <rPr>
            <b/>
            <sz val="9"/>
            <color indexed="81"/>
            <rFont val="Tahoma"/>
            <family val="2"/>
          </rPr>
          <t>Rdummy helps to maintain over voltage level at open LED condition.
If output OVP is good, try to increase Rdummy to maximize efficiency.</t>
        </r>
      </text>
    </comment>
    <comment ref="I35" authorId="0">
      <text>
        <r>
          <rPr>
            <b/>
            <sz val="9"/>
            <color indexed="81"/>
            <rFont val="Tahoma"/>
            <family val="2"/>
          </rPr>
          <t>Pulse by pulse current limit is 0.67V. 
If Vcs.max is too close to 0.67V, increase Max. Duty.</t>
        </r>
      </text>
    </comment>
    <comment ref="I36" authorId="0">
      <text>
        <r>
          <rPr>
            <b/>
            <sz val="9"/>
            <color indexed="81"/>
            <rFont val="Tahoma"/>
            <family val="2"/>
          </rPr>
          <t>Ts is switching period at rated Vout condition.</t>
        </r>
      </text>
    </comment>
    <comment ref="I37" authorId="0">
      <text>
        <r>
          <rPr>
            <b/>
            <sz val="9"/>
            <color indexed="81"/>
            <rFont val="Tahoma"/>
            <family val="2"/>
          </rPr>
          <t xml:space="preserve">Tdis means secondary diode conduction time at peak input voltage.
If Ton+Tdis is longer than Ts, CRM is shown at peak input voltage area.
In order to operate only in DCM, Ton+Tdis should be less than Ts.
To make "Ton+Tdis &lt; Ts", decrease Max. Duty
</t>
        </r>
      </text>
    </comment>
  </commentList>
</comments>
</file>

<file path=xl/sharedStrings.xml><?xml version="1.0" encoding="utf-8"?>
<sst xmlns="http://schemas.openxmlformats.org/spreadsheetml/2006/main" count="96" uniqueCount="80">
  <si>
    <t>Input</t>
    <phoneticPr fontId="1" type="noConversion"/>
  </si>
  <si>
    <t>Output</t>
    <phoneticPr fontId="1" type="noConversion"/>
  </si>
  <si>
    <t>Control Circuit Design</t>
    <phoneticPr fontId="1" type="noConversion"/>
  </si>
  <si>
    <t>Power Device Design</t>
    <phoneticPr fontId="1" type="noConversion"/>
  </si>
  <si>
    <t xml:space="preserve"> Transformer Design</t>
    <phoneticPr fontId="1" type="noConversion"/>
  </si>
  <si>
    <t>Input &amp; Output Spec</t>
    <phoneticPr fontId="1" type="noConversion"/>
  </si>
  <si>
    <t>Vac</t>
    <phoneticPr fontId="1" type="noConversion"/>
  </si>
  <si>
    <t>V</t>
    <phoneticPr fontId="1" type="noConversion"/>
  </si>
  <si>
    <t>mA</t>
    <phoneticPr fontId="1" type="noConversion"/>
  </si>
  <si>
    <t>W</t>
    <phoneticPr fontId="1" type="noConversion"/>
  </si>
  <si>
    <t>kohm</t>
    <phoneticPr fontId="1" type="noConversion"/>
  </si>
  <si>
    <t>uF</t>
    <phoneticPr fontId="1" type="noConversion"/>
  </si>
  <si>
    <t>ohm</t>
    <phoneticPr fontId="1" type="noConversion"/>
  </si>
  <si>
    <t>Rsense</t>
    <phoneticPr fontId="1" type="noConversion"/>
  </si>
  <si>
    <t>Vin.bnk</t>
    <phoneticPr fontId="1" type="noConversion"/>
  </si>
  <si>
    <t>Vf</t>
    <phoneticPr fontId="1" type="noConversion"/>
  </si>
  <si>
    <t>Rvs1</t>
    <phoneticPr fontId="1" type="noConversion"/>
  </si>
  <si>
    <t>Rvs2</t>
    <phoneticPr fontId="1" type="noConversion"/>
  </si>
  <si>
    <t>Cvs</t>
    <phoneticPr fontId="1" type="noConversion"/>
  </si>
  <si>
    <t>pF</t>
    <phoneticPr fontId="1" type="noConversion"/>
  </si>
  <si>
    <t>Ccomi</t>
    <phoneticPr fontId="1" type="noConversion"/>
  </si>
  <si>
    <t>Cvdd</t>
    <phoneticPr fontId="1" type="noConversion"/>
  </si>
  <si>
    <t>Dvdd Vmax</t>
    <phoneticPr fontId="1" type="noConversion"/>
  </si>
  <si>
    <t>Rstr</t>
    <phoneticPr fontId="1" type="noConversion"/>
  </si>
  <si>
    <t>Max. Duty</t>
    <phoneticPr fontId="1" type="noConversion"/>
  </si>
  <si>
    <t>%</t>
    <phoneticPr fontId="1" type="noConversion"/>
  </si>
  <si>
    <t>Max. Ton</t>
    <phoneticPr fontId="1" type="noConversion"/>
  </si>
  <si>
    <t>us</t>
    <phoneticPr fontId="1" type="noConversion"/>
  </si>
  <si>
    <t>Efficiency</t>
    <phoneticPr fontId="1" type="noConversion"/>
  </si>
  <si>
    <t>Ae</t>
    <phoneticPr fontId="1" type="noConversion"/>
  </si>
  <si>
    <r>
      <t>mm</t>
    </r>
    <r>
      <rPr>
        <b/>
        <vertAlign val="superscript"/>
        <sz val="10"/>
        <color theme="1"/>
        <rFont val="Calibri"/>
        <family val="3"/>
        <charset val="129"/>
        <scheme val="minor"/>
      </rPr>
      <t>2</t>
    </r>
    <phoneticPr fontId="1" type="noConversion"/>
  </si>
  <si>
    <t>Bmax</t>
    <phoneticPr fontId="1" type="noConversion"/>
  </si>
  <si>
    <t>Lm</t>
    <phoneticPr fontId="1" type="noConversion"/>
  </si>
  <si>
    <t>mH</t>
    <phoneticPr fontId="1" type="noConversion"/>
  </si>
  <si>
    <t>Nap</t>
    <phoneticPr fontId="1" type="noConversion"/>
  </si>
  <si>
    <t>Np.min</t>
    <phoneticPr fontId="1" type="noConversion"/>
  </si>
  <si>
    <t>T</t>
    <phoneticPr fontId="1" type="noConversion"/>
  </si>
  <si>
    <t>Np</t>
    <phoneticPr fontId="1" type="noConversion"/>
  </si>
  <si>
    <t>Na</t>
    <phoneticPr fontId="1" type="noConversion"/>
  </si>
  <si>
    <t>A</t>
    <phoneticPr fontId="1" type="noConversion"/>
  </si>
  <si>
    <t>Min. Vin</t>
    <phoneticPr fontId="1" type="noConversion"/>
  </si>
  <si>
    <t>Max. Vin</t>
    <phoneticPr fontId="1" type="noConversion"/>
  </si>
  <si>
    <t>Vout</t>
    <phoneticPr fontId="1" type="noConversion"/>
  </si>
  <si>
    <t>Max. Vout</t>
    <phoneticPr fontId="1" type="noConversion"/>
  </si>
  <si>
    <t>Iout</t>
    <phoneticPr fontId="1" type="noConversion"/>
  </si>
  <si>
    <t>Pout</t>
    <phoneticPr fontId="1" type="noConversion"/>
  </si>
  <si>
    <t>Vcs.max</t>
    <phoneticPr fontId="1" type="noConversion"/>
  </si>
  <si>
    <t>V</t>
    <phoneticPr fontId="1" type="noConversion"/>
  </si>
  <si>
    <t>Rdummy</t>
    <phoneticPr fontId="1" type="noConversion"/>
  </si>
  <si>
    <t>SW/Dout Vmax</t>
    <phoneticPr fontId="1" type="noConversion"/>
  </si>
  <si>
    <t>SW/Dout Ipk</t>
    <phoneticPr fontId="1" type="noConversion"/>
  </si>
  <si>
    <t>Inductor Irms</t>
    <phoneticPr fontId="1" type="noConversion"/>
  </si>
  <si>
    <t>kHz</t>
    <phoneticPr fontId="1" type="noConversion"/>
  </si>
  <si>
    <t>Switching freq.</t>
    <phoneticPr fontId="1" type="noConversion"/>
  </si>
  <si>
    <t>Ton+Tdis</t>
    <phoneticPr fontId="1" type="noConversion"/>
  </si>
  <si>
    <t>Ts</t>
    <phoneticPr fontId="1" type="noConversion"/>
  </si>
  <si>
    <t>Fairchild Semiconductor  2012.02.19 ( Ver 1.3.0 )</t>
    <phoneticPr fontId="1" type="noConversion"/>
  </si>
  <si>
    <t>Vvs.rated</t>
    <phoneticPr fontId="1" type="noConversion"/>
  </si>
  <si>
    <t>Dim.</t>
    <phoneticPr fontId="1" type="noConversion"/>
  </si>
  <si>
    <t>Standard</t>
    <phoneticPr fontId="1" type="noConversion"/>
  </si>
  <si>
    <t>Note</t>
    <phoneticPr fontId="1" type="noConversion"/>
  </si>
  <si>
    <t>Internally determined &amp; Hidden values</t>
    <phoneticPr fontId="1" type="noConversion"/>
  </si>
  <si>
    <t>Frequency</t>
    <phoneticPr fontId="1" type="noConversion"/>
  </si>
  <si>
    <t>kHz</t>
    <phoneticPr fontId="1" type="noConversion"/>
  </si>
  <si>
    <t>Ts</t>
    <phoneticPr fontId="1" type="noConversion"/>
  </si>
  <si>
    <t>k</t>
    <phoneticPr fontId="1" type="noConversion"/>
  </si>
  <si>
    <t>Ivs.bnk</t>
    <phoneticPr fontId="1" type="noConversion"/>
  </si>
  <si>
    <t>uA</t>
    <phoneticPr fontId="1" type="noConversion"/>
  </si>
  <si>
    <t>Vvs.bnk</t>
    <phoneticPr fontId="1" type="noConversion"/>
  </si>
  <si>
    <t>V</t>
    <phoneticPr fontId="1" type="noConversion"/>
  </si>
  <si>
    <t>Vvs.max</t>
    <phoneticPr fontId="1" type="noConversion"/>
  </si>
  <si>
    <t>V</t>
    <phoneticPr fontId="1" type="noConversion"/>
  </si>
  <si>
    <t>rvs</t>
    <phoneticPr fontId="1" type="noConversion"/>
  </si>
  <si>
    <t>Tdis</t>
    <phoneticPr fontId="1" type="noConversion"/>
  </si>
  <si>
    <t>Iin.pk</t>
    <phoneticPr fontId="1" type="noConversion"/>
  </si>
  <si>
    <t>A</t>
    <phoneticPr fontId="1" type="noConversion"/>
  </si>
  <si>
    <t>Min. Vin.peak</t>
    <phoneticPr fontId="1" type="noConversion"/>
  </si>
  <si>
    <t>Max. Vin.peak</t>
    <phoneticPr fontId="1" type="noConversion"/>
  </si>
  <si>
    <t>Buck Boost Design</t>
    <phoneticPr fontId="1" type="noConversion"/>
  </si>
  <si>
    <t>FL7732 : Single Stage PFC Non-isolation LED Driver (Buck-boost topology)</t>
    <phoneticPr fontId="1" type="noConversion"/>
  </si>
</sst>
</file>

<file path=xl/styles.xml><?xml version="1.0" encoding="utf-8"?>
<styleSheet xmlns="http://schemas.openxmlformats.org/spreadsheetml/2006/main">
  <numFmts count="1">
    <numFmt numFmtId="164" formatCode="0.000_ "/>
  </numFmts>
  <fonts count="36">
    <font>
      <sz val="11"/>
      <color theme="1"/>
      <name val="Calibri"/>
      <family val="2"/>
      <charset val="129"/>
      <scheme val="minor"/>
    </font>
    <font>
      <sz val="8"/>
      <name val="Calibri"/>
      <family val="2"/>
      <charset val="129"/>
      <scheme val="minor"/>
    </font>
    <font>
      <b/>
      <sz val="11"/>
      <color theme="1"/>
      <name val="Calibri"/>
      <family val="3"/>
      <charset val="129"/>
      <scheme val="minor"/>
    </font>
    <font>
      <b/>
      <sz val="11"/>
      <color rgb="FFFFFF00"/>
      <name val="Calibri"/>
      <family val="3"/>
      <charset val="129"/>
      <scheme val="minor"/>
    </font>
    <font>
      <sz val="11"/>
      <color theme="0"/>
      <name val="Calibri"/>
      <family val="2"/>
      <charset val="129"/>
      <scheme val="minor"/>
    </font>
    <font>
      <sz val="11"/>
      <color theme="0"/>
      <name val="Calibri"/>
      <family val="3"/>
      <charset val="129"/>
      <scheme val="minor"/>
    </font>
    <font>
      <b/>
      <sz val="11"/>
      <color indexed="81"/>
      <name val="Tahoma"/>
      <family val="2"/>
    </font>
    <font>
      <b/>
      <sz val="12"/>
      <color theme="0"/>
      <name val="Calibri"/>
      <family val="3"/>
      <charset val="129"/>
      <scheme val="minor"/>
    </font>
    <font>
      <sz val="11"/>
      <color rgb="FF0000FF"/>
      <name val="Calibri"/>
      <family val="2"/>
      <charset val="129"/>
      <scheme val="minor"/>
    </font>
    <font>
      <sz val="10"/>
      <color theme="1"/>
      <name val="Calibri"/>
      <family val="2"/>
      <charset val="129"/>
      <scheme val="minor"/>
    </font>
    <font>
      <b/>
      <sz val="9"/>
      <color theme="1"/>
      <name val="Calibri"/>
      <family val="3"/>
      <charset val="129"/>
      <scheme val="minor"/>
    </font>
    <font>
      <b/>
      <i/>
      <sz val="8"/>
      <color theme="1"/>
      <name val="Calibri"/>
      <family val="3"/>
      <charset val="129"/>
      <scheme val="minor"/>
    </font>
    <font>
      <i/>
      <sz val="8"/>
      <color theme="1"/>
      <name val="Calibri"/>
      <family val="3"/>
      <charset val="129"/>
      <scheme val="minor"/>
    </font>
    <font>
      <b/>
      <sz val="10"/>
      <name val="Calibri"/>
      <family val="3"/>
      <charset val="129"/>
      <scheme val="minor"/>
    </font>
    <font>
      <b/>
      <sz val="10"/>
      <color theme="1"/>
      <name val="Calibri"/>
      <family val="3"/>
      <charset val="129"/>
      <scheme val="minor"/>
    </font>
    <font>
      <b/>
      <vertAlign val="superscript"/>
      <sz val="10"/>
      <color theme="1"/>
      <name val="Calibri"/>
      <family val="3"/>
      <charset val="129"/>
      <scheme val="minor"/>
    </font>
    <font>
      <b/>
      <sz val="10"/>
      <color rgb="FF0000FF"/>
      <name val="Calibri"/>
      <family val="3"/>
      <charset val="129"/>
      <scheme val="minor"/>
    </font>
    <font>
      <b/>
      <sz val="10"/>
      <color rgb="FFFF0000"/>
      <name val="Calibri"/>
      <family val="3"/>
      <charset val="129"/>
      <scheme val="minor"/>
    </font>
    <font>
      <sz val="11"/>
      <color rgb="FF0000FF"/>
      <name val="Calibri"/>
      <family val="3"/>
      <charset val="129"/>
      <scheme val="minor"/>
    </font>
    <font>
      <b/>
      <sz val="11"/>
      <color rgb="FFFF0000"/>
      <name val="Calibri"/>
      <family val="3"/>
      <charset val="129"/>
      <scheme val="minor"/>
    </font>
    <font>
      <sz val="11"/>
      <color rgb="FFFF0000"/>
      <name val="Calibri"/>
      <family val="3"/>
      <charset val="129"/>
      <scheme val="minor"/>
    </font>
    <font>
      <sz val="10"/>
      <color rgb="FFFF0000"/>
      <name val="Calibri"/>
      <family val="3"/>
      <charset val="129"/>
      <scheme val="minor"/>
    </font>
    <font>
      <b/>
      <sz val="9"/>
      <color indexed="81"/>
      <name val="Tahoma"/>
      <family val="2"/>
    </font>
    <font>
      <sz val="11"/>
      <color rgb="FFFF0000"/>
      <name val="Calibri"/>
      <family val="2"/>
      <charset val="129"/>
      <scheme val="minor"/>
    </font>
    <font>
      <sz val="10"/>
      <color rgb="FFFF0000"/>
      <name val="Calibri"/>
      <family val="2"/>
      <charset val="129"/>
      <scheme val="minor"/>
    </font>
    <font>
      <b/>
      <sz val="11"/>
      <color rgb="FFFF0000"/>
      <name val="Calibri"/>
      <family val="2"/>
      <charset val="129"/>
      <scheme val="minor"/>
    </font>
    <font>
      <b/>
      <sz val="11"/>
      <color theme="0"/>
      <name val="Calibri"/>
      <family val="2"/>
      <charset val="129"/>
      <scheme val="minor"/>
    </font>
    <font>
      <sz val="10"/>
      <color theme="0"/>
      <name val="Calibri"/>
      <family val="2"/>
      <charset val="129"/>
      <scheme val="minor"/>
    </font>
    <font>
      <b/>
      <sz val="11"/>
      <color theme="0"/>
      <name val="Calibri"/>
      <family val="3"/>
      <charset val="129"/>
      <scheme val="minor"/>
    </font>
    <font>
      <sz val="10"/>
      <color theme="0"/>
      <name val="Calibri"/>
      <family val="3"/>
      <charset val="129"/>
      <scheme val="minor"/>
    </font>
    <font>
      <sz val="11"/>
      <name val="Calibri"/>
      <family val="2"/>
      <charset val="129"/>
      <scheme val="minor"/>
    </font>
    <font>
      <sz val="10"/>
      <name val="Calibri"/>
      <family val="2"/>
      <charset val="129"/>
      <scheme val="minor"/>
    </font>
    <font>
      <b/>
      <sz val="11"/>
      <name val="Calibri"/>
      <family val="2"/>
      <charset val="129"/>
      <scheme val="minor"/>
    </font>
    <font>
      <b/>
      <sz val="11"/>
      <name val="Calibri"/>
      <family val="3"/>
      <charset val="129"/>
      <scheme val="minor"/>
    </font>
    <font>
      <sz val="11"/>
      <name val="Calibri"/>
      <family val="3"/>
      <charset val="129"/>
      <scheme val="minor"/>
    </font>
    <font>
      <sz val="10"/>
      <name val="Calibri"/>
      <family val="3"/>
      <charset val="129"/>
      <scheme val="minor"/>
    </font>
  </fonts>
  <fills count="9">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rgb="FFFF3300"/>
        <bgColor indexed="64"/>
      </patternFill>
    </fill>
    <fill>
      <patternFill patternType="solid">
        <fgColor theme="0"/>
        <bgColor indexed="64"/>
      </patternFill>
    </fill>
    <fill>
      <patternFill patternType="solid">
        <fgColor theme="4" tint="-0.499984740745262"/>
        <bgColor indexed="64"/>
      </patternFill>
    </fill>
    <fill>
      <patternFill patternType="solid">
        <fgColor theme="3" tint="0.59996337778862885"/>
        <bgColor indexed="64"/>
      </patternFill>
    </fill>
    <fill>
      <patternFill patternType="solid">
        <fgColor theme="9" tint="0.39994506668294322"/>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s>
  <cellStyleXfs count="1">
    <xf numFmtId="0" fontId="0" fillId="0" borderId="0">
      <alignment vertical="center"/>
    </xf>
  </cellStyleXfs>
  <cellXfs count="80">
    <xf numFmtId="0" fontId="0" fillId="0" borderId="0" xfId="0">
      <alignment vertical="center"/>
    </xf>
    <xf numFmtId="0" fontId="0" fillId="0" borderId="1" xfId="0"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0" fillId="0" borderId="1" xfId="0" applyBorder="1" applyAlignment="1" applyProtection="1">
      <alignment horizontal="left" vertical="center"/>
      <protection hidden="1"/>
    </xf>
    <xf numFmtId="0" fontId="5" fillId="5"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14" fillId="7" borderId="1" xfId="0" applyFont="1" applyFill="1" applyBorder="1" applyAlignment="1" applyProtection="1">
      <alignment horizontal="center" vertical="center"/>
      <protection hidden="1"/>
    </xf>
    <xf numFmtId="0" fontId="13" fillId="7" borderId="1" xfId="0" applyFont="1" applyFill="1" applyBorder="1" applyAlignment="1" applyProtection="1">
      <alignment horizontal="center" vertical="center"/>
      <protection hidden="1"/>
    </xf>
    <xf numFmtId="0" fontId="14" fillId="8"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protection locked="0"/>
    </xf>
    <xf numFmtId="164" fontId="17" fillId="3" borderId="1" xfId="0" applyNumberFormat="1" applyFont="1" applyFill="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1" xfId="0" applyFont="1" applyBorder="1" applyAlignment="1" applyProtection="1">
      <alignment horizontal="left" vertical="center"/>
      <protection hidden="1"/>
    </xf>
    <xf numFmtId="0" fontId="8" fillId="0" borderId="1" xfId="0" applyFont="1" applyBorder="1" applyAlignment="1" applyProtection="1">
      <alignment horizontal="center" vertical="center"/>
      <protection hidden="1"/>
    </xf>
    <xf numFmtId="0" fontId="8" fillId="5" borderId="1"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0" fillId="0" borderId="1" xfId="0" applyBorder="1" applyAlignment="1" applyProtection="1">
      <alignment vertical="center" wrapText="1"/>
      <protection hidden="1"/>
    </xf>
    <xf numFmtId="0" fontId="0" fillId="0" borderId="0" xfId="0" applyProtection="1">
      <alignment vertical="center"/>
      <protection hidden="1"/>
    </xf>
    <xf numFmtId="0" fontId="24" fillId="0" borderId="1" xfId="0"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23" fillId="0" borderId="1" xfId="0" applyFont="1" applyBorder="1" applyAlignment="1" applyProtection="1">
      <alignment horizontal="center" vertical="center"/>
      <protection hidden="1"/>
    </xf>
    <xf numFmtId="0" fontId="23" fillId="0" borderId="1" xfId="0" applyFont="1" applyBorder="1" applyAlignment="1" applyProtection="1">
      <alignment horizontal="left" vertical="center"/>
      <protection hidden="1"/>
    </xf>
    <xf numFmtId="0" fontId="0" fillId="0" borderId="3" xfId="0" applyBorder="1" applyAlignment="1" applyProtection="1">
      <alignment vertical="center"/>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left" vertical="center"/>
      <protection hidden="1"/>
    </xf>
    <xf numFmtId="0" fontId="27" fillId="0" borderId="1"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1" xfId="0" applyFont="1" applyBorder="1" applyAlignment="1" applyProtection="1">
      <alignment horizontal="left" vertical="center"/>
      <protection hidden="1"/>
    </xf>
    <xf numFmtId="0" fontId="28" fillId="0" borderId="1" xfId="0" applyFont="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0" fontId="30" fillId="0" borderId="1" xfId="0" applyFont="1" applyBorder="1" applyAlignment="1" applyProtection="1">
      <alignment horizontal="center" vertical="center"/>
      <protection hidden="1"/>
    </xf>
    <xf numFmtId="0" fontId="30" fillId="0" borderId="1" xfId="0" applyFont="1" applyBorder="1" applyAlignment="1" applyProtection="1">
      <alignment horizontal="left" vertical="center"/>
      <protection hidden="1"/>
    </xf>
    <xf numFmtId="0" fontId="31" fillId="0" borderId="1" xfId="0" applyFont="1" applyBorder="1" applyAlignment="1" applyProtection="1">
      <alignment horizontal="center" vertical="center"/>
      <protection hidden="1"/>
    </xf>
    <xf numFmtId="0" fontId="32" fillId="0" borderId="1"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33" fillId="0" borderId="1" xfId="0" applyFont="1" applyBorder="1" applyAlignment="1" applyProtection="1">
      <alignment horizontal="center" vertical="center"/>
      <protection hidden="1"/>
    </xf>
    <xf numFmtId="0" fontId="34" fillId="0" borderId="1" xfId="0" applyFont="1" applyBorder="1" applyAlignment="1" applyProtection="1">
      <alignment horizontal="center" vertical="center"/>
      <protection hidden="1"/>
    </xf>
    <xf numFmtId="0" fontId="34" fillId="0" borderId="1" xfId="0" applyFont="1" applyBorder="1" applyAlignment="1" applyProtection="1">
      <alignment horizontal="left" vertical="center"/>
      <protection hidden="1"/>
    </xf>
    <xf numFmtId="0" fontId="35" fillId="0" borderId="1" xfId="0" applyFont="1" applyBorder="1" applyAlignment="1" applyProtection="1">
      <alignment horizontal="center" vertical="center"/>
      <protection hidden="1"/>
    </xf>
    <xf numFmtId="0" fontId="35" fillId="5" borderId="1" xfId="0" applyFont="1" applyFill="1" applyBorder="1" applyAlignment="1" applyProtection="1">
      <alignment horizontal="center" vertical="center"/>
      <protection hidden="1"/>
    </xf>
    <xf numFmtId="0" fontId="33" fillId="5" borderId="1" xfId="0" applyFont="1" applyFill="1" applyBorder="1" applyAlignment="1" applyProtection="1">
      <alignment horizontal="center" vertical="center"/>
      <protection hidden="1"/>
    </xf>
    <xf numFmtId="0" fontId="33" fillId="5" borderId="1" xfId="0" applyFont="1" applyFill="1" applyBorder="1" applyAlignment="1" applyProtection="1">
      <alignment horizontal="left" vertical="center"/>
      <protection hidden="1"/>
    </xf>
    <xf numFmtId="0" fontId="34" fillId="5" borderId="1" xfId="0" applyFont="1" applyFill="1" applyBorder="1" applyAlignment="1" applyProtection="1">
      <alignment horizontal="center" vertical="center"/>
      <protection hidden="1"/>
    </xf>
    <xf numFmtId="0" fontId="13" fillId="5" borderId="1" xfId="0" applyFont="1" applyFill="1" applyBorder="1" applyAlignment="1" applyProtection="1">
      <alignment horizontal="center" vertical="center"/>
      <protection hidden="1"/>
    </xf>
    <xf numFmtId="0" fontId="34" fillId="5" borderId="1" xfId="0" applyFont="1" applyFill="1" applyBorder="1" applyAlignment="1" applyProtection="1">
      <alignment horizontal="left" vertical="center"/>
      <protection hidden="1"/>
    </xf>
    <xf numFmtId="0" fontId="0" fillId="0" borderId="2" xfId="0"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33" fillId="5" borderId="1" xfId="0" applyFont="1" applyFill="1" applyBorder="1" applyAlignment="1" applyProtection="1">
      <alignment horizontal="center" vertical="center"/>
      <protection hidden="1"/>
    </xf>
    <xf numFmtId="0" fontId="11" fillId="0" borderId="2"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0" fontId="10" fillId="0" borderId="9" xfId="0" applyFont="1"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10" fillId="0" borderId="9" xfId="0" applyFont="1" applyBorder="1" applyAlignment="1" applyProtection="1">
      <alignment horizontal="left" vertical="center" wrapText="1"/>
      <protection hidden="1"/>
    </xf>
    <xf numFmtId="0" fontId="0" fillId="0" borderId="10" xfId="0"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7"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8" xfId="0"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6" xfId="0" applyBorder="1" applyAlignment="1" applyProtection="1">
      <alignment vertical="center" wrapText="1"/>
      <protection hidden="1"/>
    </xf>
    <xf numFmtId="0" fontId="0" fillId="0" borderId="5" xfId="0" applyBorder="1" applyAlignment="1" applyProtection="1">
      <alignment vertical="center" wrapText="1"/>
      <protection hidden="1"/>
    </xf>
    <xf numFmtId="0" fontId="7" fillId="6" borderId="2" xfId="0" applyFont="1" applyFill="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vertical="center"/>
      <protection hidden="1"/>
    </xf>
    <xf numFmtId="0" fontId="0" fillId="0" borderId="3" xfId="0" applyBorder="1" applyAlignment="1" applyProtection="1">
      <alignment vertical="center"/>
      <protection hidden="1"/>
    </xf>
    <xf numFmtId="0" fontId="3" fillId="4" borderId="2" xfId="0" applyFont="1" applyFill="1" applyBorder="1" applyAlignment="1" applyProtection="1">
      <alignment horizontal="center" vertical="center"/>
      <protection hidden="1"/>
    </xf>
    <xf numFmtId="0" fontId="3" fillId="4" borderId="4" xfId="0" applyFont="1" applyFill="1" applyBorder="1" applyAlignment="1" applyProtection="1">
      <alignment horizontal="center" vertical="center"/>
      <protection hidden="1"/>
    </xf>
    <xf numFmtId="0" fontId="3" fillId="4" borderId="3" xfId="0" applyFont="1" applyFill="1" applyBorder="1" applyAlignment="1" applyProtection="1">
      <alignment horizontal="center" vertical="center"/>
      <protection hidden="1"/>
    </xf>
  </cellXfs>
  <cellStyles count="1">
    <cellStyle name="Normal" xfId="0" builtinId="0"/>
  </cellStyles>
  <dxfs count="0"/>
  <tableStyles count="0" defaultTableStyle="TableStyleMedium9" defaultPivotStyle="PivotStyleLight16"/>
  <colors>
    <mruColors>
      <color rgb="FF0000FF"/>
      <color rgb="FFFF3300"/>
      <color rgb="FF00CCFF"/>
      <color rgb="FFFF7C80"/>
      <color rgb="FF008000"/>
      <color rgb="FF00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B2:V40"/>
  <sheetViews>
    <sheetView tabSelected="1" topLeftCell="A7" zoomScale="85" zoomScaleNormal="85" workbookViewId="0">
      <selection activeCell="O29" sqref="O29"/>
    </sheetView>
  </sheetViews>
  <sheetFormatPr defaultColWidth="9" defaultRowHeight="15"/>
  <cols>
    <col min="1" max="1" width="6.42578125" style="1" customWidth="1"/>
    <col min="2" max="2" width="0.5703125" style="1" customWidth="1"/>
    <col min="3" max="3" width="15.42578125" style="1" bestFit="1" customWidth="1"/>
    <col min="4" max="4" width="11" style="2" customWidth="1"/>
    <col min="5" max="5" width="8.28515625" style="3" customWidth="1"/>
    <col min="6" max="6" width="1.5703125" style="18" customWidth="1"/>
    <col min="7" max="7" width="1.42578125" style="4" customWidth="1"/>
    <col min="8" max="8" width="0.85546875" style="4" customWidth="1"/>
    <col min="9" max="9" width="14.5703125" style="1" customWidth="1"/>
    <col min="10" max="10" width="10.28515625" style="2" customWidth="1"/>
    <col min="11" max="11" width="9.42578125" style="3" customWidth="1"/>
    <col min="12" max="12" width="0.85546875" style="16" customWidth="1"/>
    <col min="13" max="13" width="1.5703125" style="17" customWidth="1"/>
    <col min="14" max="14" width="14.85546875" style="1" customWidth="1"/>
    <col min="15" max="15" width="9.28515625" style="1" customWidth="1"/>
    <col min="16" max="16" width="9" style="1"/>
    <col min="17" max="17" width="0.5703125" style="18" customWidth="1"/>
    <col min="18" max="18" width="11.140625" style="1" customWidth="1"/>
    <col min="19" max="19" width="9.140625" style="1" customWidth="1"/>
    <col min="20" max="20" width="9.7109375" style="1" customWidth="1"/>
    <col min="21" max="21" width="9" style="2"/>
    <col min="22" max="22" width="9" style="1"/>
    <col min="23" max="23" width="8.85546875" style="1" customWidth="1"/>
    <col min="24" max="24" width="9.85546875" style="1" customWidth="1"/>
    <col min="25" max="16384" width="9" style="1"/>
  </cols>
  <sheetData>
    <row r="2" spans="4:22">
      <c r="D2" s="26"/>
      <c r="E2" s="27"/>
      <c r="F2" s="28"/>
      <c r="G2" s="29"/>
      <c r="H2" s="29"/>
      <c r="I2" s="28"/>
      <c r="J2" s="26"/>
      <c r="K2" s="27"/>
      <c r="L2" s="28"/>
      <c r="M2" s="29"/>
      <c r="N2" s="28"/>
      <c r="O2" s="28"/>
      <c r="P2" s="28"/>
    </row>
    <row r="3" spans="4:22">
      <c r="D3" s="26"/>
      <c r="E3" s="27"/>
      <c r="F3" s="28"/>
      <c r="G3" s="29"/>
      <c r="H3" s="29"/>
      <c r="I3" s="28"/>
      <c r="J3" s="26"/>
      <c r="K3" s="27"/>
      <c r="L3" s="28"/>
      <c r="M3" s="29"/>
      <c r="N3" s="28"/>
      <c r="O3" s="28"/>
      <c r="P3" s="28"/>
    </row>
    <row r="4" spans="4:22">
      <c r="D4" s="26"/>
      <c r="E4" s="27"/>
      <c r="F4" s="28"/>
      <c r="G4" s="32"/>
      <c r="H4" s="32"/>
      <c r="I4" s="31"/>
      <c r="J4" s="33"/>
      <c r="K4" s="34"/>
      <c r="L4" s="31"/>
      <c r="M4" s="32"/>
      <c r="N4" s="31"/>
      <c r="O4" s="28"/>
      <c r="P4" s="28"/>
    </row>
    <row r="5" spans="4:22">
      <c r="D5" s="26"/>
      <c r="E5" s="27"/>
      <c r="F5" s="39"/>
      <c r="G5" s="40"/>
      <c r="H5" s="40"/>
      <c r="I5" s="39"/>
      <c r="J5" s="41"/>
      <c r="K5" s="42"/>
      <c r="L5" s="39"/>
      <c r="M5" s="40"/>
      <c r="N5" s="39"/>
      <c r="O5" s="28"/>
      <c r="P5" s="28"/>
    </row>
    <row r="6" spans="4:22">
      <c r="D6" s="26"/>
      <c r="E6" s="27"/>
      <c r="F6" s="39"/>
      <c r="G6" s="40"/>
      <c r="H6" s="40"/>
      <c r="I6" s="42" t="s">
        <v>57</v>
      </c>
      <c r="J6" s="43">
        <f>J26*1.5/41.5</f>
        <v>1.8072289156626506</v>
      </c>
      <c r="K6" s="44"/>
      <c r="L6" s="45"/>
      <c r="M6" s="46"/>
      <c r="N6" s="45"/>
      <c r="O6" s="28"/>
      <c r="P6" s="28"/>
    </row>
    <row r="7" spans="4:22">
      <c r="D7" s="26"/>
      <c r="E7" s="27"/>
      <c r="F7" s="45"/>
      <c r="G7" s="46"/>
      <c r="H7" s="46"/>
      <c r="I7" s="45"/>
      <c r="J7" s="47"/>
      <c r="K7" s="44"/>
      <c r="L7" s="45"/>
      <c r="M7" s="46"/>
      <c r="N7" s="45"/>
      <c r="O7" s="28"/>
      <c r="P7" s="28"/>
    </row>
    <row r="8" spans="4:22">
      <c r="D8" s="26"/>
      <c r="E8" s="27"/>
      <c r="F8" s="45"/>
      <c r="G8" s="46"/>
      <c r="H8" s="46"/>
      <c r="I8" s="48"/>
      <c r="J8" s="49"/>
      <c r="K8" s="49" t="s">
        <v>58</v>
      </c>
      <c r="L8" s="50" t="s">
        <v>59</v>
      </c>
      <c r="M8" s="49" t="s">
        <v>60</v>
      </c>
      <c r="N8" s="51"/>
      <c r="O8" s="22"/>
      <c r="P8" s="22"/>
    </row>
    <row r="9" spans="4:22">
      <c r="D9" s="23"/>
      <c r="E9" s="21"/>
      <c r="F9" s="45"/>
      <c r="G9" s="46"/>
      <c r="H9" s="46"/>
      <c r="I9" s="56" t="s">
        <v>61</v>
      </c>
      <c r="J9" s="56"/>
      <c r="K9" s="56"/>
      <c r="L9" s="56"/>
      <c r="M9" s="56"/>
      <c r="N9" s="56"/>
      <c r="O9" s="22"/>
      <c r="P9" s="22"/>
    </row>
    <row r="10" spans="4:22">
      <c r="D10" s="23"/>
      <c r="E10" s="21"/>
      <c r="F10" s="45"/>
      <c r="G10" s="46"/>
      <c r="H10" s="46"/>
      <c r="I10" s="52" t="s">
        <v>62</v>
      </c>
      <c r="J10" s="49">
        <f>J26</f>
        <v>50</v>
      </c>
      <c r="K10" s="51" t="s">
        <v>63</v>
      </c>
      <c r="L10" s="53">
        <f>J10*1000</f>
        <v>50000</v>
      </c>
      <c r="M10" s="51" t="s">
        <v>64</v>
      </c>
      <c r="N10" s="51">
        <f>1/J26*10^-3</f>
        <v>2.0000000000000002E-5</v>
      </c>
      <c r="O10" s="22"/>
      <c r="P10" s="22"/>
      <c r="U10" s="24"/>
      <c r="V10" s="24"/>
    </row>
    <row r="11" spans="4:22">
      <c r="D11" s="23"/>
      <c r="E11" s="21"/>
      <c r="F11" s="45"/>
      <c r="G11" s="46"/>
      <c r="H11" s="46"/>
      <c r="I11" s="52" t="s">
        <v>65</v>
      </c>
      <c r="J11" s="49">
        <v>7.0000000000000007E-2</v>
      </c>
      <c r="K11" s="51"/>
      <c r="L11" s="53"/>
      <c r="M11" s="51"/>
      <c r="N11" s="51"/>
      <c r="O11" s="22"/>
      <c r="P11" s="22"/>
      <c r="T11" s="24"/>
      <c r="U11" s="24"/>
      <c r="V11" s="24"/>
    </row>
    <row r="12" spans="4:22">
      <c r="D12" s="23"/>
      <c r="E12" s="21"/>
      <c r="F12" s="45"/>
      <c r="G12" s="46"/>
      <c r="H12" s="46"/>
      <c r="I12" s="52" t="s">
        <v>66</v>
      </c>
      <c r="J12" s="49">
        <v>108</v>
      </c>
      <c r="K12" s="51" t="s">
        <v>67</v>
      </c>
      <c r="L12" s="53">
        <f>J12*10^-6</f>
        <v>1.08E-4</v>
      </c>
      <c r="M12" s="51"/>
      <c r="N12" s="51"/>
      <c r="O12" s="22"/>
      <c r="P12" s="22"/>
      <c r="T12" s="24"/>
      <c r="U12" s="24"/>
      <c r="V12" s="24"/>
    </row>
    <row r="13" spans="4:22">
      <c r="D13" s="23"/>
      <c r="E13" s="21"/>
      <c r="F13" s="45"/>
      <c r="G13" s="46"/>
      <c r="H13" s="46"/>
      <c r="I13" s="52" t="s">
        <v>68</v>
      </c>
      <c r="J13" s="49">
        <v>0.54500000000000004</v>
      </c>
      <c r="K13" s="51" t="s">
        <v>69</v>
      </c>
      <c r="L13" s="53"/>
      <c r="M13" s="51"/>
      <c r="N13" s="51"/>
      <c r="O13" s="22"/>
      <c r="P13" s="22"/>
      <c r="T13" s="24"/>
      <c r="U13" s="24"/>
      <c r="V13" s="24"/>
    </row>
    <row r="14" spans="4:22">
      <c r="D14" s="23"/>
      <c r="E14" s="21"/>
      <c r="F14" s="45"/>
      <c r="G14" s="46"/>
      <c r="H14" s="46"/>
      <c r="I14" s="52" t="s">
        <v>70</v>
      </c>
      <c r="J14" s="49">
        <v>2.5</v>
      </c>
      <c r="K14" s="51" t="s">
        <v>71</v>
      </c>
      <c r="L14" s="53"/>
      <c r="M14" s="51"/>
      <c r="N14" s="51"/>
      <c r="O14" s="22"/>
      <c r="P14" s="22"/>
    </row>
    <row r="15" spans="4:22">
      <c r="D15" s="23"/>
      <c r="E15" s="21"/>
      <c r="F15" s="45"/>
      <c r="G15" s="46"/>
      <c r="H15" s="46"/>
      <c r="I15" s="52" t="s">
        <v>72</v>
      </c>
      <c r="J15" s="49">
        <f>((Vout+O26)*Nap-J6)/J6</f>
        <v>9.2661777777777772</v>
      </c>
      <c r="K15" s="51"/>
      <c r="L15" s="53"/>
      <c r="M15" s="51"/>
      <c r="N15" s="51"/>
      <c r="O15" s="22"/>
      <c r="P15" s="22"/>
    </row>
    <row r="16" spans="4:22">
      <c r="D16" s="23"/>
      <c r="E16" s="21"/>
      <c r="F16" s="45"/>
      <c r="G16" s="46"/>
      <c r="H16" s="46"/>
      <c r="I16" s="52"/>
      <c r="J16" s="49"/>
      <c r="K16" s="51"/>
      <c r="L16" s="53"/>
      <c r="M16" s="51"/>
      <c r="N16" s="51"/>
      <c r="O16" s="22"/>
      <c r="P16" s="22"/>
    </row>
    <row r="17" spans="2:22">
      <c r="D17" s="23"/>
      <c r="E17" s="21"/>
      <c r="F17" s="45"/>
      <c r="G17" s="46"/>
      <c r="H17" s="46"/>
      <c r="I17" s="52" t="s">
        <v>73</v>
      </c>
      <c r="J17" s="49">
        <f>Vin.min*2^0.5*Ton.max/Vout</f>
        <v>16.970562748477146</v>
      </c>
      <c r="K17" s="51"/>
      <c r="L17" s="53"/>
      <c r="M17" s="51"/>
      <c r="N17" s="51"/>
      <c r="O17" s="22"/>
      <c r="P17" s="22"/>
    </row>
    <row r="18" spans="2:22" ht="16.5" customHeight="1">
      <c r="D18" s="23"/>
      <c r="E18" s="21"/>
      <c r="F18" s="45"/>
      <c r="G18" s="46"/>
      <c r="H18" s="46"/>
      <c r="I18" s="52" t="s">
        <v>74</v>
      </c>
      <c r="J18" s="49">
        <f>L19*L25/L30</f>
        <v>0.77643097542052275</v>
      </c>
      <c r="K18" s="51" t="s">
        <v>75</v>
      </c>
      <c r="L18" s="53"/>
      <c r="M18" s="51"/>
      <c r="N18" s="51"/>
      <c r="O18" s="22"/>
      <c r="P18" s="22"/>
    </row>
    <row r="19" spans="2:22">
      <c r="C19" s="6" t="s">
        <v>0</v>
      </c>
      <c r="D19" s="23"/>
      <c r="E19" s="21"/>
      <c r="F19" s="45"/>
      <c r="G19" s="46"/>
      <c r="H19" s="46"/>
      <c r="I19" s="48"/>
      <c r="J19" s="49"/>
      <c r="K19" s="51" t="s">
        <v>76</v>
      </c>
      <c r="L19" s="53">
        <f>D23*2^0.5</f>
        <v>127.27922061357856</v>
      </c>
      <c r="M19" s="51"/>
      <c r="N19" s="51"/>
      <c r="O19" s="22"/>
      <c r="P19" s="22"/>
    </row>
    <row r="20" spans="2:22">
      <c r="C20" s="8" t="s">
        <v>1</v>
      </c>
      <c r="D20" s="23"/>
      <c r="E20" s="21"/>
      <c r="F20" s="45"/>
      <c r="G20" s="46"/>
      <c r="H20" s="46"/>
      <c r="I20" s="48"/>
      <c r="J20" s="49"/>
      <c r="K20" s="51" t="s">
        <v>77</v>
      </c>
      <c r="L20" s="53">
        <f>D24*2^0.5</f>
        <v>373.3523804664971</v>
      </c>
      <c r="M20" s="51"/>
      <c r="N20" s="51"/>
      <c r="O20" s="22"/>
      <c r="P20" s="22"/>
    </row>
    <row r="21" spans="2:22" ht="6" customHeight="1">
      <c r="C21" s="4"/>
      <c r="D21" s="23"/>
      <c r="E21" s="21"/>
      <c r="F21" s="37"/>
      <c r="G21" s="36"/>
      <c r="H21" s="36"/>
      <c r="I21" s="35"/>
      <c r="J21" s="38"/>
      <c r="K21" s="37"/>
      <c r="L21" s="35"/>
      <c r="M21" s="36"/>
      <c r="N21" s="35"/>
      <c r="O21" s="22"/>
      <c r="P21" s="22"/>
    </row>
    <row r="22" spans="2:22" ht="28.5" customHeight="1">
      <c r="B22" s="72" t="s">
        <v>5</v>
      </c>
      <c r="C22" s="73"/>
      <c r="D22" s="73"/>
      <c r="E22" s="73"/>
      <c r="F22" s="74"/>
      <c r="G22" s="1"/>
      <c r="H22" s="72" t="s">
        <v>78</v>
      </c>
      <c r="I22" s="75"/>
      <c r="J22" s="75"/>
      <c r="K22" s="75"/>
      <c r="L22" s="75"/>
      <c r="M22" s="75"/>
      <c r="N22" s="75"/>
      <c r="O22" s="75"/>
      <c r="P22" s="75"/>
      <c r="Q22" s="76"/>
      <c r="R22" s="30"/>
      <c r="V22" s="25"/>
    </row>
    <row r="23" spans="2:22">
      <c r="C23" s="11" t="s">
        <v>40</v>
      </c>
      <c r="D23" s="14">
        <v>90</v>
      </c>
      <c r="E23" s="11" t="s">
        <v>6</v>
      </c>
      <c r="F23" s="19"/>
      <c r="I23" s="77" t="s">
        <v>4</v>
      </c>
      <c r="J23" s="78"/>
      <c r="K23" s="79"/>
      <c r="L23" s="35"/>
      <c r="M23" s="46"/>
      <c r="N23" s="77" t="s">
        <v>2</v>
      </c>
      <c r="O23" s="78"/>
      <c r="P23" s="79"/>
    </row>
    <row r="24" spans="2:22">
      <c r="C24" s="11" t="s">
        <v>41</v>
      </c>
      <c r="D24" s="14">
        <v>264</v>
      </c>
      <c r="E24" s="11" t="s">
        <v>6</v>
      </c>
      <c r="F24" s="19"/>
      <c r="I24" s="12" t="s">
        <v>24</v>
      </c>
      <c r="J24" s="14">
        <v>40</v>
      </c>
      <c r="K24" s="11" t="s">
        <v>25</v>
      </c>
      <c r="L24" s="5">
        <f>J24*0.01</f>
        <v>0.4</v>
      </c>
      <c r="M24" s="46"/>
      <c r="N24" s="13" t="s">
        <v>13</v>
      </c>
      <c r="O24" s="15">
        <f>0.5*(1/F27)*0.1905</f>
        <v>0.68035714285714277</v>
      </c>
      <c r="P24" s="13" t="s">
        <v>12</v>
      </c>
      <c r="Q24" s="7" t="e">
        <f>0.5*(Np/Ns)*(1/F27)*0.1905</f>
        <v>#REF!</v>
      </c>
      <c r="R24" s="7"/>
    </row>
    <row r="25" spans="2:22">
      <c r="C25" s="11" t="s">
        <v>42</v>
      </c>
      <c r="D25" s="14">
        <v>60</v>
      </c>
      <c r="E25" s="11" t="s">
        <v>7</v>
      </c>
      <c r="F25" s="19"/>
      <c r="I25" s="13" t="s">
        <v>26</v>
      </c>
      <c r="J25" s="15">
        <f>L24*N10*10^6</f>
        <v>8.0000000000000018</v>
      </c>
      <c r="K25" s="13" t="s">
        <v>27</v>
      </c>
      <c r="L25" s="5">
        <f>J25*10^-6</f>
        <v>8.0000000000000013E-6</v>
      </c>
      <c r="M25" s="46"/>
      <c r="N25" s="11" t="s">
        <v>14</v>
      </c>
      <c r="O25" s="14">
        <v>50</v>
      </c>
      <c r="P25" s="11" t="s">
        <v>7</v>
      </c>
      <c r="Q25" s="7"/>
      <c r="R25" s="7"/>
    </row>
    <row r="26" spans="2:22">
      <c r="C26" s="11" t="s">
        <v>43</v>
      </c>
      <c r="D26" s="14">
        <v>75</v>
      </c>
      <c r="E26" s="11" t="s">
        <v>7</v>
      </c>
      <c r="F26" s="7"/>
      <c r="I26" s="11" t="s">
        <v>53</v>
      </c>
      <c r="J26" s="14">
        <v>50</v>
      </c>
      <c r="K26" s="11" t="s">
        <v>52</v>
      </c>
      <c r="L26" s="35"/>
      <c r="M26" s="46"/>
      <c r="N26" s="11" t="s">
        <v>15</v>
      </c>
      <c r="O26" s="14">
        <v>0.5</v>
      </c>
      <c r="P26" s="11" t="s">
        <v>7</v>
      </c>
      <c r="Q26" s="7"/>
      <c r="R26" s="7"/>
    </row>
    <row r="27" spans="2:22">
      <c r="C27" s="11" t="s">
        <v>44</v>
      </c>
      <c r="D27" s="14">
        <v>140</v>
      </c>
      <c r="E27" s="11" t="s">
        <v>8</v>
      </c>
      <c r="F27" s="7">
        <f>D27*0.001</f>
        <v>0.14000000000000001</v>
      </c>
      <c r="I27" s="11" t="s">
        <v>28</v>
      </c>
      <c r="J27" s="14">
        <v>85</v>
      </c>
      <c r="K27" s="11" t="s">
        <v>25</v>
      </c>
      <c r="L27" s="5">
        <f>J27*0.01</f>
        <v>0.85</v>
      </c>
      <c r="M27" s="46"/>
      <c r="N27" s="13" t="s">
        <v>16</v>
      </c>
      <c r="O27" s="15">
        <f>O28*J15</f>
        <v>193.78148353909467</v>
      </c>
      <c r="P27" s="13" t="s">
        <v>10</v>
      </c>
      <c r="Q27" s="7"/>
      <c r="R27" s="7"/>
    </row>
    <row r="28" spans="2:22">
      <c r="C28" s="13" t="s">
        <v>45</v>
      </c>
      <c r="D28" s="15">
        <f>D25*F27</f>
        <v>8.4</v>
      </c>
      <c r="E28" s="13" t="s">
        <v>9</v>
      </c>
      <c r="F28" s="19"/>
      <c r="I28" s="11" t="s">
        <v>29</v>
      </c>
      <c r="J28" s="14">
        <v>37</v>
      </c>
      <c r="K28" s="11" t="s">
        <v>30</v>
      </c>
      <c r="L28" s="5">
        <f>J28*10^-6</f>
        <v>3.6999999999999998E-5</v>
      </c>
      <c r="M28" s="46"/>
      <c r="N28" s="13" t="s">
        <v>17</v>
      </c>
      <c r="O28" s="15">
        <f>1/L12*(J13+(J13+O25*J34)/J15)/1000</f>
        <v>20.912774197341971</v>
      </c>
      <c r="P28" s="13" t="s">
        <v>10</v>
      </c>
      <c r="Q28" s="7">
        <f>O27*1000</f>
        <v>193781.48353909465</v>
      </c>
      <c r="R28" s="7"/>
    </row>
    <row r="29" spans="2:22">
      <c r="C29" s="9"/>
      <c r="D29" s="10"/>
      <c r="E29" s="9"/>
      <c r="F29" s="20"/>
      <c r="I29" s="11" t="s">
        <v>31</v>
      </c>
      <c r="J29" s="14">
        <v>0.26</v>
      </c>
      <c r="K29" s="11"/>
      <c r="L29" s="35"/>
      <c r="M29" s="46"/>
      <c r="N29" s="11" t="s">
        <v>18</v>
      </c>
      <c r="O29" s="14">
        <v>10</v>
      </c>
      <c r="P29" s="11" t="s">
        <v>19</v>
      </c>
      <c r="Q29" s="7">
        <f>1/L12*(J13+(J13+O25*J34)/J15)</f>
        <v>20912.774197341972</v>
      </c>
      <c r="R29" s="7"/>
    </row>
    <row r="30" spans="2:22">
      <c r="I30" s="13" t="s">
        <v>32</v>
      </c>
      <c r="J30" s="15">
        <f>L27*(D23^2)*L10*(L25^2)/(2*D28)*10^3</f>
        <v>1.3114285714285718</v>
      </c>
      <c r="K30" s="13" t="s">
        <v>33</v>
      </c>
      <c r="L30" s="5">
        <f>L27*(D23^2)*L10*(L25^2)/(2*D28)</f>
        <v>1.3114285714285719E-3</v>
      </c>
      <c r="M30" s="46"/>
      <c r="N30" s="11" t="s">
        <v>20</v>
      </c>
      <c r="O30" s="14">
        <v>1</v>
      </c>
      <c r="P30" s="11" t="s">
        <v>11</v>
      </c>
      <c r="Q30" s="7"/>
      <c r="R30" s="7"/>
    </row>
    <row r="31" spans="2:22">
      <c r="C31" s="63" t="s">
        <v>79</v>
      </c>
      <c r="D31" s="64"/>
      <c r="E31" s="65"/>
      <c r="I31" s="13" t="s">
        <v>35</v>
      </c>
      <c r="J31" s="15">
        <f>L19*L25/(J29*L28)</f>
        <v>105.84550570775767</v>
      </c>
      <c r="K31" s="13" t="s">
        <v>36</v>
      </c>
      <c r="L31" s="51"/>
      <c r="M31" s="46"/>
      <c r="N31" s="11" t="s">
        <v>21</v>
      </c>
      <c r="O31" s="14">
        <v>33</v>
      </c>
      <c r="P31" s="11" t="s">
        <v>11</v>
      </c>
      <c r="Q31" s="19"/>
      <c r="R31" s="7"/>
    </row>
    <row r="32" spans="2:22" ht="16.5" customHeight="1">
      <c r="C32" s="66"/>
      <c r="D32" s="67"/>
      <c r="E32" s="68"/>
      <c r="I32" s="11" t="s">
        <v>37</v>
      </c>
      <c r="J32" s="14">
        <v>106</v>
      </c>
      <c r="K32" s="11" t="s">
        <v>36</v>
      </c>
      <c r="L32" s="51"/>
      <c r="M32" s="46"/>
      <c r="N32" s="13" t="s">
        <v>22</v>
      </c>
      <c r="O32" s="15">
        <f>23.5+Vin.max*(2^0.5)*Nap</f>
        <v>137.9947300097258</v>
      </c>
      <c r="P32" s="13" t="s">
        <v>7</v>
      </c>
      <c r="Q32" s="19"/>
      <c r="R32" s="7"/>
    </row>
    <row r="33" spans="2:18">
      <c r="C33" s="69"/>
      <c r="D33" s="70"/>
      <c r="E33" s="71"/>
      <c r="I33" s="13" t="s">
        <v>38</v>
      </c>
      <c r="J33" s="15">
        <f>23*Np/Vout.max</f>
        <v>32.506666666666668</v>
      </c>
      <c r="K33" s="13" t="s">
        <v>36</v>
      </c>
      <c r="L33" s="51"/>
      <c r="M33" s="46"/>
      <c r="N33" s="13" t="s">
        <v>23</v>
      </c>
      <c r="O33" s="15">
        <f>Vin.min/(O31*10^-6*17.5)/1000</f>
        <v>155.84415584415586</v>
      </c>
      <c r="P33" s="13" t="s">
        <v>10</v>
      </c>
      <c r="Q33" s="19"/>
      <c r="R33" s="7"/>
    </row>
    <row r="34" spans="2:18">
      <c r="C34" s="57" t="s">
        <v>56</v>
      </c>
      <c r="D34" s="58"/>
      <c r="E34" s="59"/>
      <c r="I34" s="13" t="s">
        <v>34</v>
      </c>
      <c r="J34" s="15">
        <f>Na/Np</f>
        <v>0.3066666666666667</v>
      </c>
      <c r="K34" s="13"/>
      <c r="L34" s="51"/>
      <c r="M34" s="46"/>
      <c r="N34" s="13" t="s">
        <v>48</v>
      </c>
      <c r="O34" s="15">
        <f>Vout*500/Iout</f>
        <v>214.28571428571428</v>
      </c>
      <c r="P34" s="13" t="s">
        <v>10</v>
      </c>
      <c r="Q34" s="19"/>
      <c r="R34" s="7"/>
    </row>
    <row r="35" spans="2:18">
      <c r="C35" s="60"/>
      <c r="D35" s="61"/>
      <c r="E35" s="62"/>
      <c r="I35" s="13" t="s">
        <v>46</v>
      </c>
      <c r="J35" s="15">
        <f>J18*O24</f>
        <v>0.52825036006289128</v>
      </c>
      <c r="K35" s="13" t="s">
        <v>47</v>
      </c>
      <c r="L35" s="51"/>
      <c r="M35" s="46"/>
      <c r="N35" s="77" t="s">
        <v>3</v>
      </c>
      <c r="O35" s="78"/>
      <c r="P35" s="79"/>
    </row>
    <row r="36" spans="2:18">
      <c r="B36" s="54"/>
      <c r="D36" s="1"/>
      <c r="E36" s="2"/>
      <c r="I36" s="13" t="s">
        <v>55</v>
      </c>
      <c r="J36" s="15">
        <f>1/J26*1000</f>
        <v>20</v>
      </c>
      <c r="K36" s="13" t="s">
        <v>27</v>
      </c>
      <c r="L36" s="51"/>
      <c r="M36" s="46"/>
      <c r="N36" s="13" t="s">
        <v>49</v>
      </c>
      <c r="O36" s="15">
        <f>L20+Vout.max</f>
        <v>448.3523804664971</v>
      </c>
      <c r="P36" s="13" t="s">
        <v>7</v>
      </c>
      <c r="Q36" s="19"/>
      <c r="R36" s="7"/>
    </row>
    <row r="37" spans="2:18">
      <c r="B37" s="54"/>
      <c r="D37" s="1"/>
      <c r="E37" s="2"/>
      <c r="I37" s="13" t="s">
        <v>54</v>
      </c>
      <c r="J37" s="15">
        <f>Ton.max+J17</f>
        <v>24.97056274847715</v>
      </c>
      <c r="K37" s="13" t="s">
        <v>27</v>
      </c>
      <c r="L37" s="45"/>
      <c r="M37" s="45"/>
      <c r="N37" s="13" t="s">
        <v>50</v>
      </c>
      <c r="O37" s="15">
        <f>L25*Vin.min*2^0.5/L30</f>
        <v>0.77643097542052275</v>
      </c>
      <c r="P37" s="13" t="s">
        <v>39</v>
      </c>
    </row>
    <row r="38" spans="2:18">
      <c r="B38" s="54"/>
      <c r="D38" s="1"/>
      <c r="E38" s="2"/>
      <c r="L38" s="45"/>
      <c r="M38" s="45"/>
      <c r="N38" s="13" t="s">
        <v>51</v>
      </c>
      <c r="O38" s="15">
        <f>J18*J37*10^-6/2/N10/2^0.5</f>
        <v>0.34273321419478436</v>
      </c>
      <c r="P38" s="13" t="s">
        <v>39</v>
      </c>
    </row>
    <row r="39" spans="2:18">
      <c r="B39" s="54"/>
      <c r="D39" s="1"/>
      <c r="E39" s="2"/>
      <c r="L39" s="45"/>
      <c r="M39" s="45"/>
    </row>
    <row r="40" spans="2:18">
      <c r="B40" s="54"/>
      <c r="E40" s="55"/>
    </row>
  </sheetData>
  <sheetProtection password="EE0A" sheet="1" objects="1" scenarios="1" selectLockedCells="1"/>
  <mergeCells count="9">
    <mergeCell ref="I9:N9"/>
    <mergeCell ref="C34:E34"/>
    <mergeCell ref="C35:E35"/>
    <mergeCell ref="C31:E33"/>
    <mergeCell ref="B22:F22"/>
    <mergeCell ref="H22:Q22"/>
    <mergeCell ref="N23:P23"/>
    <mergeCell ref="N35:P35"/>
    <mergeCell ref="I23:K23"/>
  </mergeCells>
  <phoneticPr fontId="1" type="noConversion"/>
  <pageMargins left="0.7" right="0.7" top="0.75" bottom="0.75" header="0.3" footer="0.3"/>
  <pageSetup paperSize="9" orientation="portrait" r:id="rId1"/>
  <legacyDrawing r:id="rId2"/>
  <oleObjects>
    <oleObject progId="Visio.Drawing.11" shapeId="1048" r:id="rId3"/>
  </oleObjects>
</worksheet>
</file>

<file path=xl/worksheets/sheet2.xml><?xml version="1.0" encoding="utf-8"?>
<worksheet xmlns="http://schemas.openxmlformats.org/spreadsheetml/2006/main" xmlns:r="http://schemas.openxmlformats.org/officeDocument/2006/relationships">
  <dimension ref="A1"/>
  <sheetViews>
    <sheetView zoomScale="70" zoomScaleNormal="70" workbookViewId="0"/>
  </sheetViews>
  <sheetFormatPr defaultRowHeight="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Sheet1</vt:lpstr>
      <vt:lpstr>Sheet2</vt:lpstr>
      <vt:lpstr>Sheet3</vt:lpstr>
      <vt:lpstr>Ae</vt:lpstr>
      <vt:lpstr>Bmax</vt:lpstr>
      <vt:lpstr>Duty.max</vt:lpstr>
      <vt:lpstr>Eff</vt:lpstr>
      <vt:lpstr>Iout</vt:lpstr>
      <vt:lpstr>Lm</vt:lpstr>
      <vt:lpstr>Na</vt:lpstr>
      <vt:lpstr>Nap</vt:lpstr>
      <vt:lpstr>Np</vt:lpstr>
      <vt:lpstr>Np.min</vt:lpstr>
      <vt:lpstr>Pout</vt:lpstr>
      <vt:lpstr>Ton.max</vt:lpstr>
      <vt:lpstr>Vin.max</vt:lpstr>
      <vt:lpstr>Vin.min</vt:lpstr>
      <vt:lpstr>Vout</vt:lpstr>
      <vt:lpstr>Vout.max</vt:lpstr>
    </vt:vector>
  </TitlesOfParts>
  <Company>Fairchild Semiconductor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Windows User</cp:lastModifiedBy>
  <dcterms:created xsi:type="dcterms:W3CDTF">2011-11-09T23:25:24Z</dcterms:created>
  <dcterms:modified xsi:type="dcterms:W3CDTF">2013-04-18T14:44:05Z</dcterms:modified>
</cp:coreProperties>
</file>